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9870" activeTab="0"/>
  </bookViews>
  <sheets>
    <sheet name="ApparentDip" sheetId="1" r:id="rId1"/>
    <sheet name="Documentation" sheetId="2" r:id="rId2"/>
    <sheet name="Graphical" sheetId="3" r:id="rId3"/>
  </sheets>
  <externalReferences>
    <externalReference r:id="rId6"/>
  </externalReferences>
  <definedNames>
    <definedName name="AnswerAz">'ApparentDip'!$E$39</definedName>
    <definedName name="AnswerPl">'ApparentDip'!$F$39</definedName>
    <definedName name="AppDip">'ApparentDip'!$B$31</definedName>
    <definedName name="AppDipAz">'ApparentDip'!$D$31</definedName>
    <definedName name="AppDipSeed">'ApparentDip'!$G$22</definedName>
    <definedName name="AppDipStep">'ApparentDip'!$H$22</definedName>
    <definedName name="Az_1">'ApparentDip'!$H$31</definedName>
    <definedName name="Az_2">'ApparentDip'!$F$31</definedName>
    <definedName name="fl">'ApparentDip'!$D$27</definedName>
    <definedName name="flag">'Graphical'!$J$6</definedName>
    <definedName name="LowerFlag">'ApparentDip'!$A$39</definedName>
    <definedName name="Ndec">'ApparentDip'!$B$27</definedName>
    <definedName name="Pl_1">'ApparentDip'!$E$31</definedName>
    <definedName name="Pl_2">'ApparentDip'!$G$31</definedName>
    <definedName name="pl_az">'Graphical'!$N$7</definedName>
    <definedName name="pl_cos_a">'Graphical'!$K$7</definedName>
    <definedName name="pl_cos_b">'Graphical'!$L$7</definedName>
    <definedName name="pl_cos_g">'Graphical'!$M$7</definedName>
    <definedName name="pl_mag">'Graphical'!$O$7</definedName>
    <definedName name="Projection">'ApparentDip'!$B$28</definedName>
    <definedName name="Radius">'Graphical'!$C$3</definedName>
    <definedName name="RotAng">'Graphical'!$H$6</definedName>
    <definedName name="Rotated_Az">'Graphical'!$B$184</definedName>
    <definedName name="Rotated_mag">'Graphical'!$C$184</definedName>
    <definedName name="StrikeAndDip">'ApparentDip'!$C$31</definedName>
    <definedName name="t_dot">'Graphical'!$I$6</definedName>
    <definedName name="Theta">'ApparentDip'!$N$31</definedName>
    <definedName name="Theta_S">'ApparentDip'!$G$35</definedName>
    <definedName name="TrueDipAz">'ApparentDip'!$I$31</definedName>
    <definedName name="TrueDipPl">'ApparentDip'!$J$31</definedName>
    <definedName name="X_1">'ApparentDip'!$A$35</definedName>
    <definedName name="X_2">'ApparentDip'!$D$35</definedName>
    <definedName name="X_3">'ApparentDip'!$H$35</definedName>
    <definedName name="X_Ans">'ApparentDip'!$B$39</definedName>
    <definedName name="X_S">'Graphical'!$J$4</definedName>
    <definedName name="Xcenter">'Graphical'!$C$2</definedName>
    <definedName name="Y_1">'ApparentDip'!$B$35</definedName>
    <definedName name="Y_2">'ApparentDip'!$E$35</definedName>
    <definedName name="Y_3">'ApparentDip'!$I$35</definedName>
    <definedName name="Y_Ans">'ApparentDip'!$C$39</definedName>
    <definedName name="Y_S">'Graphical'!$K$4</definedName>
    <definedName name="Ycenter">'Graphical'!$E$2</definedName>
    <definedName name="Z_1">'ApparentDip'!$C$35</definedName>
    <definedName name="Z_2">'ApparentDip'!$F$35</definedName>
    <definedName name="Z_3">'ApparentDip'!$J$35</definedName>
    <definedName name="Z_A">'[1]Rotation'!$F$29</definedName>
    <definedName name="Z_Ans">'ApparentDip'!$D$39</definedName>
    <definedName name="Z_D">'[1]Rotation'!$C$29</definedName>
    <definedName name="Z_S">'Graphical'!$L$4</definedName>
  </definedNames>
  <calcPr fullCalcOnLoad="1"/>
</workbook>
</file>

<file path=xl/sharedStrings.xml><?xml version="1.0" encoding="utf-8"?>
<sst xmlns="http://schemas.openxmlformats.org/spreadsheetml/2006/main" count="329" uniqueCount="129">
  <si>
    <t>Usage</t>
  </si>
  <si>
    <t>Quadrant</t>
  </si>
  <si>
    <t>Data Set</t>
  </si>
  <si>
    <t>Theta</t>
  </si>
  <si>
    <t>Cos(alpha)</t>
  </si>
  <si>
    <t>Cos(beta)</t>
  </si>
  <si>
    <t>Cos(gamma)</t>
  </si>
  <si>
    <t>Angle(radians)</t>
  </si>
  <si>
    <t>Lower Hemisphere</t>
  </si>
  <si>
    <t>Cross-product</t>
  </si>
  <si>
    <t>Flag</t>
  </si>
  <si>
    <t>Azimuth</t>
  </si>
  <si>
    <t>Angular Precision:</t>
  </si>
  <si>
    <t>Angular Field Width:</t>
  </si>
  <si>
    <t>Calculation Method</t>
  </si>
  <si>
    <t>Symbolic Block Names</t>
  </si>
  <si>
    <t>clarity to the claculation formulae. The blue names below refer to cells where data is entered.</t>
  </si>
  <si>
    <t>The various block names with definitions are listed below:</t>
  </si>
  <si>
    <t>Name</t>
  </si>
  <si>
    <t>Definition or Value</t>
  </si>
  <si>
    <t>Az_1</t>
  </si>
  <si>
    <t>Az_2</t>
  </si>
  <si>
    <t>fl</t>
  </si>
  <si>
    <t>Field size (characters) for reported angular values.</t>
  </si>
  <si>
    <t>LowerFlag</t>
  </si>
  <si>
    <t>Positive if cross product has a positive plunge angle, negative if not.</t>
  </si>
  <si>
    <t>Ndec</t>
  </si>
  <si>
    <t>Number of decimal places for reported angular values.</t>
  </si>
  <si>
    <t>Pl_1</t>
  </si>
  <si>
    <t>Pl_2</t>
  </si>
  <si>
    <t>Theta_S</t>
  </si>
  <si>
    <t>X_1,Y_1,Z_1</t>
  </si>
  <si>
    <t>X_2,Y_2,Z_2</t>
  </si>
  <si>
    <t>X_S,Y_S,Z_S</t>
  </si>
  <si>
    <t>Calculated angle (radians) between the apparent dip vectors.</t>
  </si>
  <si>
    <t>Strike &amp; Dip</t>
  </si>
  <si>
    <t>Data 1</t>
  </si>
  <si>
    <t>App. Dip bearing</t>
  </si>
  <si>
    <t>App Dip Azimuth</t>
  </si>
  <si>
    <t>Pole azimuth</t>
  </si>
  <si>
    <t>Pole plunge</t>
  </si>
  <si>
    <t>App. Dip Pole Az</t>
  </si>
  <si>
    <t>App Dip pole plunge</t>
  </si>
  <si>
    <t>App. dip pole</t>
  </si>
  <si>
    <t>Planar pole</t>
  </si>
  <si>
    <t>Apparent Dip Calculator</t>
  </si>
  <si>
    <t>Angle</t>
  </si>
  <si>
    <t>AppDip</t>
  </si>
  <si>
    <t>Apparent dip direction bearing in quadrant format (i.e. N 45.0 E)</t>
  </si>
  <si>
    <t>StrikeAndDip</t>
  </si>
  <si>
    <t>Strike &amp; Dip in quadrant format; quadrantd d\specified with "E" or "W"</t>
  </si>
  <si>
    <t>AppDipAz</t>
  </si>
  <si>
    <t>Azimuth of pole to strike &amp; dip plane.</t>
  </si>
  <si>
    <t>Plunge angle of pole to strike &amp; dip plane</t>
  </si>
  <si>
    <t>Plunge angle of pole to apparent dip plane.</t>
  </si>
  <si>
    <t>Azimuth of pole to apparent dip plane.</t>
  </si>
  <si>
    <t>Apparent dip direction azimuth angle (0-360).</t>
  </si>
  <si>
    <t xml:space="preserve">This spreadsheet can be used to calculate an apparent dip angle given the strike and dip of a plane, and the bearing direction of the apparent dip. </t>
  </si>
  <si>
    <t>angles to this setting. All orientations must be in quadrant format, however, the spreadsheet can be easily modified to accept azimuth orientations if necessary,</t>
  </si>
  <si>
    <t xml:space="preserve">Blue cells contain values that should be inputed by the user, whereas the magenta cells generally contain formulae that should not be modified. The green colored cell </t>
  </si>
  <si>
    <t>The calculation method uses the cross-product of two vectors to extract the apparent dip answer. The 1st vector is the pole to the vertical plane containing the</t>
  </si>
  <si>
    <t>apparent dip direction. The 2nd vector is the pole to the strike and dip plane. The intersection of the two planes perpindicular to these vectors will always yield the</t>
  </si>
  <si>
    <t>apparent dip angle as the plunge of the cross-product resultant vector. The cross-product always calulates the vector perpindicular to the plane containing the two</t>
  </si>
  <si>
    <t xml:space="preserve">input vectors. </t>
  </si>
  <si>
    <t>Symbolic block names are used extensively in the "ApparentDip" worksheet to add</t>
  </si>
  <si>
    <t>contains the apparent dip answer (F39). It is recommended that the user turn on sheet protection with "Tools &gt; Protection &gt; Protect Sheet" so that formulae cells</t>
  </si>
  <si>
    <t>Xcenter=</t>
  </si>
  <si>
    <t>Ycenter=</t>
  </si>
  <si>
    <t>Radius=</t>
  </si>
  <si>
    <t>Primitive</t>
  </si>
  <si>
    <t>Magnitude</t>
  </si>
  <si>
    <t>X</t>
  </si>
  <si>
    <t>Y</t>
  </si>
  <si>
    <t>Item</t>
  </si>
  <si>
    <t>primitive</t>
  </si>
  <si>
    <t>Projection:</t>
  </si>
  <si>
    <t>Plane Pole</t>
  </si>
  <si>
    <t>True Dip</t>
  </si>
  <si>
    <t>Answer</t>
  </si>
  <si>
    <t>App.Dip</t>
  </si>
  <si>
    <t>True Dip Az</t>
  </si>
  <si>
    <t>True Dip plunge</t>
  </si>
  <si>
    <t>N</t>
  </si>
  <si>
    <t>Az</t>
  </si>
  <si>
    <t>Pl</t>
  </si>
  <si>
    <t>Rotation</t>
  </si>
  <si>
    <t>t_dot</t>
  </si>
  <si>
    <t>flag</t>
  </si>
  <si>
    <t>azimuth</t>
  </si>
  <si>
    <t>magnitude</t>
  </si>
  <si>
    <t>Great Circle</t>
  </si>
  <si>
    <t>TrueDipAz</t>
  </si>
  <si>
    <t>Azimuth of true dip vector.</t>
  </si>
  <si>
    <t>TrueDipPl</t>
  </si>
  <si>
    <t>Plunge of true dip vector.</t>
  </si>
  <si>
    <t>Directional components of pole to apparent dip plane..</t>
  </si>
  <si>
    <t>Directional components of pole to strike and dip plane.</t>
  </si>
  <si>
    <t>X_3,Y_3,Z_3</t>
  </si>
  <si>
    <t>Direction components of true dip vector.</t>
  </si>
  <si>
    <t>Directional components of the cross product solution (intesection of strike &amp; dip and apparent dip planes.</t>
  </si>
  <si>
    <t>X_Ans,Y_Ans,Z_Ans</t>
  </si>
  <si>
    <t>Directional components of start position for drawing great circle</t>
  </si>
  <si>
    <t>AnswerAz</t>
  </si>
  <si>
    <t>Azimuth of apparent dip answer vector.</t>
  </si>
  <si>
    <t>AnswerPl</t>
  </si>
  <si>
    <t>Plunge of apparent dip answer vector.</t>
  </si>
  <si>
    <t>Xcenter, Ycenter</t>
  </si>
  <si>
    <t>Coordinates of the center of the stereographic projection.</t>
  </si>
  <si>
    <t>Radius</t>
  </si>
  <si>
    <t>Radius of the stereographic projection.</t>
  </si>
  <si>
    <t>Equal Area</t>
  </si>
  <si>
    <t>A. D. bearing:</t>
  </si>
  <si>
    <t>increment:</t>
  </si>
  <si>
    <t>&lt;ctrl&gt;+i</t>
  </si>
  <si>
    <t>decrement:</t>
  </si>
  <si>
    <t>step</t>
  </si>
  <si>
    <t>&lt;ctrl&gt;+d</t>
  </si>
  <si>
    <t>AppDipSeed</t>
  </si>
  <si>
    <t>Apparent dip starting bearing for interactive graphical macro</t>
  </si>
  <si>
    <t>AppDipStep</t>
  </si>
  <si>
    <t>Apparent dip increment/decrement amount for interactive macro</t>
  </si>
  <si>
    <t>App Dip start</t>
  </si>
  <si>
    <t>App Dip end</t>
  </si>
  <si>
    <t>All angular values are decimal degrees, with the precision set by the angular precison value. Be sure to match the number of decimal places for</t>
  </si>
  <si>
    <t>are not over-typed. The azimuth of the apparent dip direction can be incremented/decremented with the &lt;ctrl&gt;+I and &lt;ctrl&gt;+d macro.</t>
  </si>
  <si>
    <t>current value</t>
  </si>
  <si>
    <t>The up/down graphical arrows in the chart graph also increment/decrement the azimuth of the apparent dip direction using the current and step values.</t>
  </si>
  <si>
    <t>N 50.0 E 40.0 E</t>
  </si>
  <si>
    <t>S 70.0 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</si>
</sst>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0"/>
  </numFmts>
  <fonts count="49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  <font>
      <sz val="10"/>
      <color indexed="12"/>
      <name val="Arial"/>
      <family val="2"/>
    </font>
    <font>
      <u val="single"/>
      <sz val="12"/>
      <name val="Arial"/>
      <family val="2"/>
    </font>
    <font>
      <sz val="10"/>
      <color indexed="14"/>
      <name val="Arial"/>
      <family val="2"/>
    </font>
    <font>
      <sz val="10"/>
      <color indexed="14"/>
      <name val="Courier"/>
      <family val="3"/>
    </font>
    <font>
      <sz val="10"/>
      <color indexed="17"/>
      <name val="Courier"/>
      <family val="3"/>
    </font>
    <font>
      <sz val="10"/>
      <color indexed="57"/>
      <name val="Courier New"/>
      <family val="3"/>
    </font>
    <font>
      <sz val="10"/>
      <color indexed="12"/>
      <name val="Courier New"/>
      <family val="3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5"/>
      <color indexed="8"/>
      <name val="Arial"/>
      <family val="0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165" fontId="8" fillId="0" borderId="1">
      <alignment/>
      <protection/>
    </xf>
    <xf numFmtId="0" fontId="34" fillId="26" borderId="0" applyNumberFormat="0" applyBorder="0" applyAlignment="0" applyProtection="0"/>
    <xf numFmtId="0" fontId="35" fillId="27" borderId="2" applyNumberFormat="0" applyAlignment="0" applyProtection="0"/>
    <xf numFmtId="0" fontId="36" fillId="28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9" fillId="0" borderId="0">
      <alignment horizontal="left"/>
      <protection locked="0"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27" borderId="9" applyNumberFormat="0" applyAlignment="0" applyProtection="0"/>
    <xf numFmtId="9" fontId="1" fillId="0" borderId="0" applyFont="0" applyFill="0" applyBorder="0" applyAlignment="0" applyProtection="0"/>
    <xf numFmtId="165" fontId="5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2" fillId="0" borderId="0" xfId="0" applyNumberFormat="1" applyFont="1" applyAlignment="1" applyProtection="1">
      <alignment horizontal="left"/>
      <protection locked="0"/>
    </xf>
    <xf numFmtId="164" fontId="2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 quotePrefix="1">
      <alignment/>
    </xf>
    <xf numFmtId="0" fontId="3" fillId="0" borderId="0" xfId="0" applyFont="1" applyAlignment="1" quotePrefix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/>
      <protection locked="0"/>
    </xf>
    <xf numFmtId="0" fontId="1" fillId="0" borderId="1" xfId="0" applyFont="1" applyBorder="1" applyAlignment="1" applyProtection="1" quotePrefix="1">
      <alignment horizontal="left"/>
      <protection locked="0"/>
    </xf>
    <xf numFmtId="0" fontId="1" fillId="0" borderId="1" xfId="0" applyFon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4" fillId="0" borderId="1" xfId="0" applyFont="1" applyBorder="1" applyAlignment="1" applyProtection="1">
      <alignment horizontal="left"/>
      <protection/>
    </xf>
    <xf numFmtId="0" fontId="5" fillId="0" borderId="1" xfId="0" applyFont="1" applyBorder="1" applyAlignment="1" applyProtection="1">
      <alignment/>
      <protection/>
    </xf>
    <xf numFmtId="164" fontId="0" fillId="0" borderId="1" xfId="0" applyNumberFormat="1" applyBorder="1" applyAlignment="1" applyProtection="1">
      <alignment/>
      <protection/>
    </xf>
    <xf numFmtId="164" fontId="6" fillId="0" borderId="1" xfId="0" applyNumberFormat="1" applyFont="1" applyBorder="1" applyAlignment="1" applyProtection="1">
      <alignment/>
      <protection/>
    </xf>
    <xf numFmtId="164" fontId="2" fillId="0" borderId="1" xfId="0" applyNumberFormat="1" applyFont="1" applyBorder="1" applyAlignment="1" applyProtection="1">
      <alignment/>
      <protection locked="0"/>
    </xf>
    <xf numFmtId="164" fontId="5" fillId="0" borderId="1" xfId="0" applyNumberFormat="1" applyFont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 locked="0"/>
    </xf>
    <xf numFmtId="164" fontId="7" fillId="0" borderId="0" xfId="0" applyNumberFormat="1" applyFont="1" applyAlignment="1" applyProtection="1">
      <alignment/>
      <protection locked="0"/>
    </xf>
    <xf numFmtId="0" fontId="1" fillId="0" borderId="1" xfId="0" applyFont="1" applyBorder="1" applyAlignment="1" applyProtection="1" quotePrefix="1">
      <alignment horizontal="left"/>
      <protection/>
    </xf>
    <xf numFmtId="0" fontId="10" fillId="0" borderId="0" xfId="0" applyFont="1" applyAlignment="1">
      <alignment/>
    </xf>
    <xf numFmtId="165" fontId="5" fillId="0" borderId="0" xfId="60">
      <alignment/>
      <protection/>
    </xf>
    <xf numFmtId="165" fontId="9" fillId="0" borderId="0" xfId="47">
      <alignment horizontal="left"/>
      <protection locked="0"/>
    </xf>
    <xf numFmtId="165" fontId="9" fillId="0" borderId="0" xfId="47" applyFont="1">
      <alignment horizontal="left"/>
      <protection locked="0"/>
    </xf>
    <xf numFmtId="165" fontId="8" fillId="0" borderId="1" xfId="39">
      <alignment/>
      <protection/>
    </xf>
    <xf numFmtId="1" fontId="9" fillId="0" borderId="0" xfId="47" applyNumberFormat="1">
      <alignment horizontal="left"/>
      <protection locked="0"/>
    </xf>
    <xf numFmtId="165" fontId="5" fillId="0" borderId="0" xfId="60" applyFont="1">
      <alignment/>
      <protection/>
    </xf>
    <xf numFmtId="2" fontId="5" fillId="0" borderId="0" xfId="0" applyNumberFormat="1" applyFont="1" applyAlignment="1">
      <alignment/>
    </xf>
    <xf numFmtId="0" fontId="5" fillId="0" borderId="0" xfId="0" applyFont="1" applyFill="1" applyBorder="1" applyAlignment="1" quotePrefix="1">
      <alignment/>
    </xf>
    <xf numFmtId="0" fontId="5" fillId="0" borderId="0" xfId="0" applyFont="1" applyFill="1" applyBorder="1" applyAlignment="1">
      <alignment/>
    </xf>
    <xf numFmtId="1" fontId="5" fillId="0" borderId="0" xfId="60" applyNumberFormat="1">
      <alignment/>
      <protection/>
    </xf>
    <xf numFmtId="0" fontId="3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swer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Data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rotected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Stereographic Projection</a:t>
            </a:r>
          </a:p>
        </c:rich>
      </c:tx>
      <c:layout>
        <c:manualLayout>
          <c:xMode val="factor"/>
          <c:yMode val="factor"/>
          <c:x val="-0.019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1165"/>
          <c:w val="0.886"/>
          <c:h val="0.8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Graphical!$D$4</c:f>
              <c:strCache>
                <c:ptCount val="1"/>
                <c:pt idx="0">
                  <c:v>Primitive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Graphical!$D$6:$D$186</c:f>
              <c:numCache>
                <c:ptCount val="181"/>
                <c:pt idx="0">
                  <c:v>3.75</c:v>
                </c:pt>
                <c:pt idx="1">
                  <c:v>3.7477156013216093</c:v>
                </c:pt>
                <c:pt idx="2">
                  <c:v>3.740865188474341</c:v>
                </c:pt>
                <c:pt idx="3">
                  <c:v>3.729457107631025</c:v>
                </c:pt>
                <c:pt idx="4">
                  <c:v>3.7135052577808887</c:v>
                </c:pt>
                <c:pt idx="5">
                  <c:v>3.6930290737957803</c:v>
                </c:pt>
                <c:pt idx="6">
                  <c:v>3.6680535027517713</c:v>
                </c:pt>
                <c:pt idx="7">
                  <c:v>3.638608973534987</c:v>
                </c:pt>
                <c:pt idx="8">
                  <c:v>3.604731359768696</c:v>
                </c:pt>
                <c:pt idx="9">
                  <c:v>3.5664619361068257</c:v>
                </c:pt>
                <c:pt idx="10">
                  <c:v>3.5238473279471565</c:v>
                </c:pt>
                <c:pt idx="11">
                  <c:v>3.4769394546254526</c:v>
                </c:pt>
                <c:pt idx="12">
                  <c:v>3.4257954661597534</c:v>
                </c:pt>
                <c:pt idx="13">
                  <c:v>3.3704776736218762</c:v>
                </c:pt>
                <c:pt idx="14">
                  <c:v>3.3110534732209764</c:v>
                </c:pt>
                <c:pt idx="15">
                  <c:v>3.247595264191645</c:v>
                </c:pt>
                <c:pt idx="16">
                  <c:v>3.1801803605865975</c:v>
                </c:pt>
                <c:pt idx="17">
                  <c:v>3.108890897081406</c:v>
                </c:pt>
                <c:pt idx="18">
                  <c:v>3.033813728906053</c:v>
                </c:pt>
                <c:pt idx="19">
                  <c:v>2.955040326025207</c:v>
                </c:pt>
                <c:pt idx="20">
                  <c:v>2.8726666616961674</c:v>
                </c:pt>
                <c:pt idx="21">
                  <c:v>2.7867930955402285</c:v>
                </c:pt>
                <c:pt idx="22">
                  <c:v>2.6975242512699418</c:v>
                </c:pt>
                <c:pt idx="23">
                  <c:v>2.6049688892212397</c:v>
                </c:pt>
                <c:pt idx="24">
                  <c:v>2.509239773845718</c:v>
                </c:pt>
                <c:pt idx="25">
                  <c:v>2.4104535363245225</c:v>
                </c:pt>
                <c:pt idx="26">
                  <c:v>2.3087305324712184</c:v>
                </c:pt>
                <c:pt idx="27">
                  <c:v>2.204194696096774</c:v>
                </c:pt>
                <c:pt idx="28">
                  <c:v>2.0969733880153005</c:v>
                </c:pt>
                <c:pt idx="29">
                  <c:v>1.9871972408745184</c:v>
                </c:pt>
                <c:pt idx="30">
                  <c:v>1.8750000000000004</c:v>
                </c:pt>
                <c:pt idx="31">
                  <c:v>1.7605183604470906</c:v>
                </c:pt>
                <c:pt idx="32">
                  <c:v>1.6438918004590404</c:v>
                </c:pt>
                <c:pt idx="33">
                  <c:v>1.5252624115342508</c:v>
                </c:pt>
                <c:pt idx="34">
                  <c:v>1.4047747253096698</c:v>
                </c:pt>
                <c:pt idx="35">
                  <c:v>1.2825755374712582</c:v>
                </c:pt>
                <c:pt idx="36">
                  <c:v>1.158813728906053</c:v>
                </c:pt>
                <c:pt idx="37">
                  <c:v>1.0336400843137468</c:v>
                </c:pt>
                <c:pt idx="38">
                  <c:v>0.9072071084987537</c:v>
                </c:pt>
                <c:pt idx="39">
                  <c:v>0.7796688405665979</c:v>
                </c:pt>
                <c:pt idx="40">
                  <c:v>0.651180666250989</c:v>
                </c:pt>
                <c:pt idx="41">
                  <c:v>0.5218991286002455</c:v>
                </c:pt>
                <c:pt idx="42">
                  <c:v>0.39198173725370045</c:v>
                </c:pt>
                <c:pt idx="43">
                  <c:v>0.26158677654046963</c:v>
                </c:pt>
                <c:pt idx="44">
                  <c:v>0.13087311263437906</c:v>
                </c:pt>
                <c:pt idx="45">
                  <c:v>2.2971533529536625E-16</c:v>
                </c:pt>
                <c:pt idx="46">
                  <c:v>-0.1308731126343786</c:v>
                </c:pt>
                <c:pt idx="47">
                  <c:v>-0.26158677654046997</c:v>
                </c:pt>
                <c:pt idx="48">
                  <c:v>-0.39198173725370083</c:v>
                </c:pt>
                <c:pt idx="49">
                  <c:v>-0.5218991286002451</c:v>
                </c:pt>
                <c:pt idx="50">
                  <c:v>-0.6511806662509887</c:v>
                </c:pt>
                <c:pt idx="51">
                  <c:v>-0.7796688405665976</c:v>
                </c:pt>
                <c:pt idx="52">
                  <c:v>-0.9072071084987542</c:v>
                </c:pt>
                <c:pt idx="53">
                  <c:v>-1.0336400843137465</c:v>
                </c:pt>
                <c:pt idx="54">
                  <c:v>-1.1588137289060525</c:v>
                </c:pt>
                <c:pt idx="55">
                  <c:v>-1.2825755374712577</c:v>
                </c:pt>
                <c:pt idx="56">
                  <c:v>-1.4047747253096703</c:v>
                </c:pt>
                <c:pt idx="57">
                  <c:v>-1.525262411534251</c:v>
                </c:pt>
                <c:pt idx="58">
                  <c:v>-1.6438918004590406</c:v>
                </c:pt>
                <c:pt idx="59">
                  <c:v>-1.7605183604470909</c:v>
                </c:pt>
                <c:pt idx="60">
                  <c:v>-1.8749999999999991</c:v>
                </c:pt>
                <c:pt idx="61">
                  <c:v>-1.987197240874518</c:v>
                </c:pt>
                <c:pt idx="62">
                  <c:v>-2.0969733880153</c:v>
                </c:pt>
                <c:pt idx="63">
                  <c:v>-2.2041946960967738</c:v>
                </c:pt>
                <c:pt idx="64">
                  <c:v>-2.3087305324712184</c:v>
                </c:pt>
                <c:pt idx="65">
                  <c:v>-2.4104535363245225</c:v>
                </c:pt>
                <c:pt idx="66">
                  <c:v>-2.509239773845718</c:v>
                </c:pt>
                <c:pt idx="67">
                  <c:v>-2.60496888922124</c:v>
                </c:pt>
                <c:pt idx="68">
                  <c:v>-2.6975242512699418</c:v>
                </c:pt>
                <c:pt idx="69">
                  <c:v>-2.7867930955402276</c:v>
                </c:pt>
                <c:pt idx="70">
                  <c:v>-2.872666661696167</c:v>
                </c:pt>
                <c:pt idx="71">
                  <c:v>-2.955040326025207</c:v>
                </c:pt>
                <c:pt idx="72">
                  <c:v>-3.0338137289060527</c:v>
                </c:pt>
                <c:pt idx="73">
                  <c:v>-3.108890897081406</c:v>
                </c:pt>
                <c:pt idx="74">
                  <c:v>-3.1801803605865975</c:v>
                </c:pt>
                <c:pt idx="75">
                  <c:v>-3.247595264191645</c:v>
                </c:pt>
                <c:pt idx="76">
                  <c:v>-3.3110534732209764</c:v>
                </c:pt>
                <c:pt idx="77">
                  <c:v>-3.3704776736218762</c:v>
                </c:pt>
                <c:pt idx="78">
                  <c:v>-3.425795466159753</c:v>
                </c:pt>
                <c:pt idx="79">
                  <c:v>-3.4769394546254526</c:v>
                </c:pt>
                <c:pt idx="80">
                  <c:v>-3.523847327947156</c:v>
                </c:pt>
                <c:pt idx="81">
                  <c:v>-3.5664619361068257</c:v>
                </c:pt>
                <c:pt idx="82">
                  <c:v>-3.604731359768696</c:v>
                </c:pt>
                <c:pt idx="83">
                  <c:v>-3.638608973534987</c:v>
                </c:pt>
                <c:pt idx="84">
                  <c:v>-3.6680535027517713</c:v>
                </c:pt>
                <c:pt idx="85">
                  <c:v>-3.6930290737957803</c:v>
                </c:pt>
                <c:pt idx="86">
                  <c:v>-3.7135052577808887</c:v>
                </c:pt>
                <c:pt idx="87">
                  <c:v>-3.729457107631025</c:v>
                </c:pt>
                <c:pt idx="88">
                  <c:v>-3.740865188474341</c:v>
                </c:pt>
                <c:pt idx="89">
                  <c:v>-3.7477156013216093</c:v>
                </c:pt>
                <c:pt idx="90">
                  <c:v>-3.75</c:v>
                </c:pt>
                <c:pt idx="91">
                  <c:v>-3.7477156013216093</c:v>
                </c:pt>
                <c:pt idx="92">
                  <c:v>-3.740865188474341</c:v>
                </c:pt>
                <c:pt idx="93">
                  <c:v>-3.729457107631025</c:v>
                </c:pt>
                <c:pt idx="94">
                  <c:v>-3.7135052577808882</c:v>
                </c:pt>
                <c:pt idx="95">
                  <c:v>-3.6930290737957803</c:v>
                </c:pt>
                <c:pt idx="96">
                  <c:v>-3.668053502751771</c:v>
                </c:pt>
                <c:pt idx="97">
                  <c:v>-3.638608973534987</c:v>
                </c:pt>
                <c:pt idx="98">
                  <c:v>-3.604731359768696</c:v>
                </c:pt>
                <c:pt idx="99">
                  <c:v>-3.566461936106826</c:v>
                </c:pt>
                <c:pt idx="100">
                  <c:v>-3.5238473279471565</c:v>
                </c:pt>
                <c:pt idx="101">
                  <c:v>-3.4769394546254526</c:v>
                </c:pt>
                <c:pt idx="102">
                  <c:v>-3.4257954661597534</c:v>
                </c:pt>
                <c:pt idx="103">
                  <c:v>-3.370477673621876</c:v>
                </c:pt>
                <c:pt idx="104">
                  <c:v>-3.311053473220976</c:v>
                </c:pt>
                <c:pt idx="105">
                  <c:v>-3.2475952641916446</c:v>
                </c:pt>
                <c:pt idx="106">
                  <c:v>-3.180180360586598</c:v>
                </c:pt>
                <c:pt idx="107">
                  <c:v>-3.108890897081407</c:v>
                </c:pt>
                <c:pt idx="108">
                  <c:v>-3.033813728906053</c:v>
                </c:pt>
                <c:pt idx="109">
                  <c:v>-2.9550403260252076</c:v>
                </c:pt>
                <c:pt idx="110">
                  <c:v>-2.8726666616961674</c:v>
                </c:pt>
                <c:pt idx="111">
                  <c:v>-2.7867930955402285</c:v>
                </c:pt>
                <c:pt idx="112">
                  <c:v>-2.6975242512699413</c:v>
                </c:pt>
                <c:pt idx="113">
                  <c:v>-2.6049688892212397</c:v>
                </c:pt>
                <c:pt idx="114">
                  <c:v>-2.509239773845718</c:v>
                </c:pt>
                <c:pt idx="115">
                  <c:v>-2.410453536324523</c:v>
                </c:pt>
                <c:pt idx="116">
                  <c:v>-2.308730532471218</c:v>
                </c:pt>
                <c:pt idx="117">
                  <c:v>-2.2041946960967747</c:v>
                </c:pt>
                <c:pt idx="118">
                  <c:v>-2.0969733880152996</c:v>
                </c:pt>
                <c:pt idx="119">
                  <c:v>-1.9871972408745189</c:v>
                </c:pt>
                <c:pt idx="120">
                  <c:v>-1.8750000000000018</c:v>
                </c:pt>
                <c:pt idx="121">
                  <c:v>-1.7605183604470902</c:v>
                </c:pt>
                <c:pt idx="122">
                  <c:v>-1.6438918004590415</c:v>
                </c:pt>
                <c:pt idx="123">
                  <c:v>-1.5252624115342504</c:v>
                </c:pt>
                <c:pt idx="124">
                  <c:v>-1.4047747253096712</c:v>
                </c:pt>
                <c:pt idx="125">
                  <c:v>-1.282575537471257</c:v>
                </c:pt>
                <c:pt idx="126">
                  <c:v>-1.1588137289060534</c:v>
                </c:pt>
                <c:pt idx="127">
                  <c:v>-1.0336400843137459</c:v>
                </c:pt>
                <c:pt idx="128">
                  <c:v>-0.9072071084987542</c:v>
                </c:pt>
                <c:pt idx="129">
                  <c:v>-0.7796688405665992</c:v>
                </c:pt>
                <c:pt idx="130">
                  <c:v>-0.6511806662509887</c:v>
                </c:pt>
                <c:pt idx="131">
                  <c:v>-0.5218991286002469</c:v>
                </c:pt>
                <c:pt idx="132">
                  <c:v>-0.3919817372537001</c:v>
                </c:pt>
                <c:pt idx="133">
                  <c:v>-0.2615867765404709</c:v>
                </c:pt>
                <c:pt idx="134">
                  <c:v>-0.13087311263437784</c:v>
                </c:pt>
                <c:pt idx="135">
                  <c:v>-6.891460058860988E-16</c:v>
                </c:pt>
                <c:pt idx="136">
                  <c:v>0.1308731126343798</c:v>
                </c:pt>
                <c:pt idx="137">
                  <c:v>0.2615867765404696</c:v>
                </c:pt>
                <c:pt idx="138">
                  <c:v>0.39198173725369867</c:v>
                </c:pt>
                <c:pt idx="139">
                  <c:v>0.5218991286002455</c:v>
                </c:pt>
                <c:pt idx="140">
                  <c:v>0.6511806662509874</c:v>
                </c:pt>
                <c:pt idx="141">
                  <c:v>0.7796688405665978</c:v>
                </c:pt>
                <c:pt idx="142">
                  <c:v>0.907207108498753</c:v>
                </c:pt>
                <c:pt idx="143">
                  <c:v>1.0336400843137477</c:v>
                </c:pt>
                <c:pt idx="144">
                  <c:v>1.158813728906052</c:v>
                </c:pt>
                <c:pt idx="145">
                  <c:v>1.2825755374712586</c:v>
                </c:pt>
                <c:pt idx="146">
                  <c:v>1.4047747253096698</c:v>
                </c:pt>
                <c:pt idx="147">
                  <c:v>1.525262411534249</c:v>
                </c:pt>
                <c:pt idx="148">
                  <c:v>1.6438918004590404</c:v>
                </c:pt>
                <c:pt idx="149">
                  <c:v>1.760518360447089</c:v>
                </c:pt>
                <c:pt idx="150">
                  <c:v>1.8750000000000004</c:v>
                </c:pt>
                <c:pt idx="151">
                  <c:v>1.9871972408745175</c:v>
                </c:pt>
                <c:pt idx="152">
                  <c:v>2.0969733880153014</c:v>
                </c:pt>
                <c:pt idx="153">
                  <c:v>2.2041946960967733</c:v>
                </c:pt>
                <c:pt idx="154">
                  <c:v>2.3087305324712193</c:v>
                </c:pt>
                <c:pt idx="155">
                  <c:v>2.410453536324522</c:v>
                </c:pt>
                <c:pt idx="156">
                  <c:v>2.509239773845717</c:v>
                </c:pt>
                <c:pt idx="157">
                  <c:v>2.6049688892212397</c:v>
                </c:pt>
                <c:pt idx="158">
                  <c:v>2.697524251269941</c:v>
                </c:pt>
                <c:pt idx="159">
                  <c:v>2.7867930955402285</c:v>
                </c:pt>
                <c:pt idx="160">
                  <c:v>2.872666661696167</c:v>
                </c:pt>
                <c:pt idx="161">
                  <c:v>2.9550403260252076</c:v>
                </c:pt>
                <c:pt idx="162">
                  <c:v>3.0338137289060527</c:v>
                </c:pt>
                <c:pt idx="163">
                  <c:v>3.108890897081407</c:v>
                </c:pt>
                <c:pt idx="164">
                  <c:v>3.1801803605865975</c:v>
                </c:pt>
                <c:pt idx="165">
                  <c:v>3.247595264191644</c:v>
                </c:pt>
                <c:pt idx="166">
                  <c:v>3.311053473220976</c:v>
                </c:pt>
                <c:pt idx="167">
                  <c:v>3.370477673621876</c:v>
                </c:pt>
                <c:pt idx="168">
                  <c:v>3.425795466159754</c:v>
                </c:pt>
                <c:pt idx="169">
                  <c:v>3.4769394546254526</c:v>
                </c:pt>
                <c:pt idx="170">
                  <c:v>3.5238473279471565</c:v>
                </c:pt>
                <c:pt idx="171">
                  <c:v>3.5664619361068257</c:v>
                </c:pt>
                <c:pt idx="172">
                  <c:v>3.604731359768696</c:v>
                </c:pt>
                <c:pt idx="173">
                  <c:v>3.638608973534987</c:v>
                </c:pt>
                <c:pt idx="174">
                  <c:v>3.668053502751771</c:v>
                </c:pt>
                <c:pt idx="175">
                  <c:v>3.6930290737957803</c:v>
                </c:pt>
                <c:pt idx="176">
                  <c:v>3.7135052577808882</c:v>
                </c:pt>
                <c:pt idx="177">
                  <c:v>3.729457107631025</c:v>
                </c:pt>
                <c:pt idx="178">
                  <c:v>3.740865188474341</c:v>
                </c:pt>
                <c:pt idx="179">
                  <c:v>3.7477156013216093</c:v>
                </c:pt>
                <c:pt idx="180">
                  <c:v>3.75</c:v>
                </c:pt>
              </c:numCache>
            </c:numRef>
          </c:xVal>
          <c:yVal>
            <c:numRef>
              <c:f>Graphical!$E$6:$E$185</c:f>
              <c:numCache>
                <c:ptCount val="180"/>
                <c:pt idx="0">
                  <c:v>0</c:v>
                </c:pt>
                <c:pt idx="1">
                  <c:v>0.13087311263437865</c:v>
                </c:pt>
                <c:pt idx="2">
                  <c:v>0.2615867765404699</c:v>
                </c:pt>
                <c:pt idx="3">
                  <c:v>0.3919817372537005</c:v>
                </c:pt>
                <c:pt idx="4">
                  <c:v>0.5218991286002453</c:v>
                </c:pt>
                <c:pt idx="5">
                  <c:v>0.6511806662509887</c:v>
                </c:pt>
                <c:pt idx="6">
                  <c:v>0.7796688405665976</c:v>
                </c:pt>
                <c:pt idx="7">
                  <c:v>0.907207108498754</c:v>
                </c:pt>
                <c:pt idx="8">
                  <c:v>1.0336400843137468</c:v>
                </c:pt>
                <c:pt idx="9">
                  <c:v>1.1588137289060527</c:v>
                </c:pt>
                <c:pt idx="10">
                  <c:v>1.2825755374712577</c:v>
                </c:pt>
                <c:pt idx="11">
                  <c:v>1.40477472530967</c:v>
                </c:pt>
                <c:pt idx="12">
                  <c:v>1.5252624115342508</c:v>
                </c:pt>
                <c:pt idx="13">
                  <c:v>1.6438918004590404</c:v>
                </c:pt>
                <c:pt idx="14">
                  <c:v>1.7605183604470904</c:v>
                </c:pt>
                <c:pt idx="15">
                  <c:v>1.8749999999999998</c:v>
                </c:pt>
                <c:pt idx="16">
                  <c:v>1.9871972408745184</c:v>
                </c:pt>
                <c:pt idx="17">
                  <c:v>2.096973388015301</c:v>
                </c:pt>
                <c:pt idx="18">
                  <c:v>2.204194696096774</c:v>
                </c:pt>
                <c:pt idx="19">
                  <c:v>2.3087305324712184</c:v>
                </c:pt>
                <c:pt idx="20">
                  <c:v>2.410453536324522</c:v>
                </c:pt>
                <c:pt idx="21">
                  <c:v>2.509239773845718</c:v>
                </c:pt>
                <c:pt idx="22">
                  <c:v>2.6049688892212397</c:v>
                </c:pt>
                <c:pt idx="23">
                  <c:v>2.6975242512699413</c:v>
                </c:pt>
                <c:pt idx="24">
                  <c:v>2.7867930955402285</c:v>
                </c:pt>
                <c:pt idx="25">
                  <c:v>2.8726666616961674</c:v>
                </c:pt>
                <c:pt idx="26">
                  <c:v>2.9550403260252076</c:v>
                </c:pt>
                <c:pt idx="27">
                  <c:v>3.033813728906053</c:v>
                </c:pt>
                <c:pt idx="28">
                  <c:v>3.1088908970814066</c:v>
                </c:pt>
                <c:pt idx="29">
                  <c:v>3.1801803605865975</c:v>
                </c:pt>
                <c:pt idx="30">
                  <c:v>3.2475952641916446</c:v>
                </c:pt>
                <c:pt idx="31">
                  <c:v>3.311053473220976</c:v>
                </c:pt>
                <c:pt idx="32">
                  <c:v>3.3704776736218762</c:v>
                </c:pt>
                <c:pt idx="33">
                  <c:v>3.4257954661597534</c:v>
                </c:pt>
                <c:pt idx="34">
                  <c:v>3.4769394546254526</c:v>
                </c:pt>
                <c:pt idx="35">
                  <c:v>3.523847327947156</c:v>
                </c:pt>
                <c:pt idx="36">
                  <c:v>3.5664619361068257</c:v>
                </c:pt>
                <c:pt idx="37">
                  <c:v>3.604731359768696</c:v>
                </c:pt>
                <c:pt idx="38">
                  <c:v>3.638608973534987</c:v>
                </c:pt>
                <c:pt idx="39">
                  <c:v>3.668053502751771</c:v>
                </c:pt>
                <c:pt idx="40">
                  <c:v>3.6930290737957803</c:v>
                </c:pt>
                <c:pt idx="41">
                  <c:v>3.7135052577808887</c:v>
                </c:pt>
                <c:pt idx="42">
                  <c:v>3.729457107631025</c:v>
                </c:pt>
                <c:pt idx="43">
                  <c:v>3.740865188474341</c:v>
                </c:pt>
                <c:pt idx="44">
                  <c:v>3.7477156013216093</c:v>
                </c:pt>
                <c:pt idx="45">
                  <c:v>3.75</c:v>
                </c:pt>
                <c:pt idx="46">
                  <c:v>3.7477156013216093</c:v>
                </c:pt>
                <c:pt idx="47">
                  <c:v>3.740865188474341</c:v>
                </c:pt>
                <c:pt idx="48">
                  <c:v>3.729457107631025</c:v>
                </c:pt>
                <c:pt idx="49">
                  <c:v>3.7135052577808887</c:v>
                </c:pt>
                <c:pt idx="50">
                  <c:v>3.6930290737957803</c:v>
                </c:pt>
                <c:pt idx="51">
                  <c:v>3.6680535027517713</c:v>
                </c:pt>
                <c:pt idx="52">
                  <c:v>3.638608973534987</c:v>
                </c:pt>
                <c:pt idx="53">
                  <c:v>3.604731359768696</c:v>
                </c:pt>
                <c:pt idx="54">
                  <c:v>3.566461936106826</c:v>
                </c:pt>
                <c:pt idx="55">
                  <c:v>3.5238473279471565</c:v>
                </c:pt>
                <c:pt idx="56">
                  <c:v>3.4769394546254526</c:v>
                </c:pt>
                <c:pt idx="57">
                  <c:v>3.4257954661597534</c:v>
                </c:pt>
                <c:pt idx="58">
                  <c:v>3.370477673621876</c:v>
                </c:pt>
                <c:pt idx="59">
                  <c:v>3.311053473220976</c:v>
                </c:pt>
                <c:pt idx="60">
                  <c:v>3.247595264191645</c:v>
                </c:pt>
                <c:pt idx="61">
                  <c:v>3.180180360586598</c:v>
                </c:pt>
                <c:pt idx="62">
                  <c:v>3.1088908970814066</c:v>
                </c:pt>
                <c:pt idx="63">
                  <c:v>3.033813728906053</c:v>
                </c:pt>
                <c:pt idx="64">
                  <c:v>2.9550403260252076</c:v>
                </c:pt>
                <c:pt idx="65">
                  <c:v>2.8726666616961674</c:v>
                </c:pt>
                <c:pt idx="66">
                  <c:v>2.7867930955402285</c:v>
                </c:pt>
                <c:pt idx="67">
                  <c:v>2.6975242512699413</c:v>
                </c:pt>
                <c:pt idx="68">
                  <c:v>2.6049688892212393</c:v>
                </c:pt>
                <c:pt idx="69">
                  <c:v>2.5092397738457186</c:v>
                </c:pt>
                <c:pt idx="70">
                  <c:v>2.410453536324523</c:v>
                </c:pt>
                <c:pt idx="71">
                  <c:v>2.308730532471219</c:v>
                </c:pt>
                <c:pt idx="72">
                  <c:v>2.2041946960967747</c:v>
                </c:pt>
                <c:pt idx="73">
                  <c:v>2.096973388015301</c:v>
                </c:pt>
                <c:pt idx="74">
                  <c:v>1.9871972408745184</c:v>
                </c:pt>
                <c:pt idx="75">
                  <c:v>1.8749999999999998</c:v>
                </c:pt>
                <c:pt idx="76">
                  <c:v>1.7605183604470902</c:v>
                </c:pt>
                <c:pt idx="77">
                  <c:v>1.64389180045904</c:v>
                </c:pt>
                <c:pt idx="78">
                  <c:v>1.5252624115342517</c:v>
                </c:pt>
                <c:pt idx="79">
                  <c:v>1.404774725309671</c:v>
                </c:pt>
                <c:pt idx="80">
                  <c:v>1.2825755374712582</c:v>
                </c:pt>
                <c:pt idx="81">
                  <c:v>1.1588137289060532</c:v>
                </c:pt>
                <c:pt idx="82">
                  <c:v>1.033640084313747</c:v>
                </c:pt>
                <c:pt idx="83">
                  <c:v>0.907207108498754</c:v>
                </c:pt>
                <c:pt idx="84">
                  <c:v>0.7796688405665975</c:v>
                </c:pt>
                <c:pt idx="85">
                  <c:v>0.6511806662509886</c:v>
                </c:pt>
                <c:pt idx="86">
                  <c:v>0.521899128600245</c:v>
                </c:pt>
                <c:pt idx="87">
                  <c:v>0.3919817372537015</c:v>
                </c:pt>
                <c:pt idx="88">
                  <c:v>0.2615867765404707</c:v>
                </c:pt>
                <c:pt idx="89">
                  <c:v>0.13087311263437928</c:v>
                </c:pt>
                <c:pt idx="90">
                  <c:v>4.594306705907325E-16</c:v>
                </c:pt>
                <c:pt idx="91">
                  <c:v>-0.13087311263437837</c:v>
                </c:pt>
                <c:pt idx="92">
                  <c:v>-0.2615867765404698</c:v>
                </c:pt>
                <c:pt idx="93">
                  <c:v>-0.3919817372537006</c:v>
                </c:pt>
                <c:pt idx="94">
                  <c:v>-0.5218991286002457</c:v>
                </c:pt>
                <c:pt idx="95">
                  <c:v>-0.6511806662509892</c:v>
                </c:pt>
                <c:pt idx="96">
                  <c:v>-0.7796688405665981</c:v>
                </c:pt>
                <c:pt idx="97">
                  <c:v>-0.9072071084987532</c:v>
                </c:pt>
                <c:pt idx="98">
                  <c:v>-1.0336400843137463</c:v>
                </c:pt>
                <c:pt idx="99">
                  <c:v>-1.1588137289060523</c:v>
                </c:pt>
                <c:pt idx="100">
                  <c:v>-1.2825755374712575</c:v>
                </c:pt>
                <c:pt idx="101">
                  <c:v>-1.40477472530967</c:v>
                </c:pt>
                <c:pt idx="102">
                  <c:v>-1.5252624115342508</c:v>
                </c:pt>
                <c:pt idx="103">
                  <c:v>-1.6438918004590404</c:v>
                </c:pt>
                <c:pt idx="104">
                  <c:v>-1.7605183604470906</c:v>
                </c:pt>
                <c:pt idx="105">
                  <c:v>-1.8750000000000004</c:v>
                </c:pt>
                <c:pt idx="106">
                  <c:v>-1.987197240874518</c:v>
                </c:pt>
                <c:pt idx="107">
                  <c:v>-2.0969733880153</c:v>
                </c:pt>
                <c:pt idx="108">
                  <c:v>-2.2041946960967738</c:v>
                </c:pt>
                <c:pt idx="109">
                  <c:v>-2.308730532471218</c:v>
                </c:pt>
                <c:pt idx="110">
                  <c:v>-2.410453536324522</c:v>
                </c:pt>
                <c:pt idx="111">
                  <c:v>-2.509239773845718</c:v>
                </c:pt>
                <c:pt idx="112">
                  <c:v>-2.60496888922124</c:v>
                </c:pt>
                <c:pt idx="113">
                  <c:v>-2.6975242512699418</c:v>
                </c:pt>
                <c:pt idx="114">
                  <c:v>-2.786793095540229</c:v>
                </c:pt>
                <c:pt idx="115">
                  <c:v>-2.872666661696167</c:v>
                </c:pt>
                <c:pt idx="116">
                  <c:v>-2.955040326025208</c:v>
                </c:pt>
                <c:pt idx="117">
                  <c:v>-3.0338137289060527</c:v>
                </c:pt>
                <c:pt idx="118">
                  <c:v>-3.108890897081407</c:v>
                </c:pt>
                <c:pt idx="119">
                  <c:v>-3.1801803605865975</c:v>
                </c:pt>
                <c:pt idx="120">
                  <c:v>-3.247595264191644</c:v>
                </c:pt>
                <c:pt idx="121">
                  <c:v>-3.3110534732209764</c:v>
                </c:pt>
                <c:pt idx="122">
                  <c:v>-3.370477673621876</c:v>
                </c:pt>
                <c:pt idx="123">
                  <c:v>-3.425795466159754</c:v>
                </c:pt>
                <c:pt idx="124">
                  <c:v>-3.4769394546254526</c:v>
                </c:pt>
                <c:pt idx="125">
                  <c:v>-3.5238473279471565</c:v>
                </c:pt>
                <c:pt idx="126">
                  <c:v>-3.5664619361068257</c:v>
                </c:pt>
                <c:pt idx="127">
                  <c:v>-3.6047313597686963</c:v>
                </c:pt>
                <c:pt idx="128">
                  <c:v>-3.638608973534987</c:v>
                </c:pt>
                <c:pt idx="129">
                  <c:v>-3.668053502751771</c:v>
                </c:pt>
                <c:pt idx="130">
                  <c:v>-3.6930290737957803</c:v>
                </c:pt>
                <c:pt idx="131">
                  <c:v>-3.7135052577808882</c:v>
                </c:pt>
                <c:pt idx="132">
                  <c:v>-3.7294571076310254</c:v>
                </c:pt>
                <c:pt idx="133">
                  <c:v>-3.740865188474341</c:v>
                </c:pt>
                <c:pt idx="134">
                  <c:v>-3.7477156013216093</c:v>
                </c:pt>
                <c:pt idx="135">
                  <c:v>-3.75</c:v>
                </c:pt>
                <c:pt idx="136">
                  <c:v>-3.7477156013216093</c:v>
                </c:pt>
                <c:pt idx="137">
                  <c:v>-3.7408651884743414</c:v>
                </c:pt>
                <c:pt idx="138">
                  <c:v>-3.7294571076310254</c:v>
                </c:pt>
                <c:pt idx="139">
                  <c:v>-3.7135052577808887</c:v>
                </c:pt>
                <c:pt idx="140">
                  <c:v>-3.6930290737957803</c:v>
                </c:pt>
                <c:pt idx="141">
                  <c:v>-3.668053502751771</c:v>
                </c:pt>
                <c:pt idx="142">
                  <c:v>-3.6386089735349874</c:v>
                </c:pt>
                <c:pt idx="143">
                  <c:v>-3.6047313597686954</c:v>
                </c:pt>
                <c:pt idx="144">
                  <c:v>-3.566461936106826</c:v>
                </c:pt>
                <c:pt idx="145">
                  <c:v>-3.523847327947156</c:v>
                </c:pt>
                <c:pt idx="146">
                  <c:v>-3.4769394546254526</c:v>
                </c:pt>
                <c:pt idx="147">
                  <c:v>-3.4257954661597543</c:v>
                </c:pt>
                <c:pt idx="148">
                  <c:v>-3.3704776736218762</c:v>
                </c:pt>
                <c:pt idx="149">
                  <c:v>-3.3110534732209764</c:v>
                </c:pt>
                <c:pt idx="150">
                  <c:v>-3.2475952641916446</c:v>
                </c:pt>
                <c:pt idx="151">
                  <c:v>-3.1801803605865984</c:v>
                </c:pt>
                <c:pt idx="152">
                  <c:v>-3.108890897081406</c:v>
                </c:pt>
                <c:pt idx="153">
                  <c:v>-3.033813728906053</c:v>
                </c:pt>
                <c:pt idx="154">
                  <c:v>-2.9550403260252067</c:v>
                </c:pt>
                <c:pt idx="155">
                  <c:v>-2.872666661696168</c:v>
                </c:pt>
                <c:pt idx="156">
                  <c:v>-2.78679309554023</c:v>
                </c:pt>
                <c:pt idx="157">
                  <c:v>-2.6975242512699418</c:v>
                </c:pt>
                <c:pt idx="158">
                  <c:v>-2.604968889221241</c:v>
                </c:pt>
                <c:pt idx="159">
                  <c:v>-2.509239773845718</c:v>
                </c:pt>
                <c:pt idx="160">
                  <c:v>-2.4104535363245234</c:v>
                </c:pt>
                <c:pt idx="161">
                  <c:v>-2.308730532471218</c:v>
                </c:pt>
                <c:pt idx="162">
                  <c:v>-2.204194696096775</c:v>
                </c:pt>
                <c:pt idx="163">
                  <c:v>-2.0969733880152996</c:v>
                </c:pt>
                <c:pt idx="164">
                  <c:v>-1.9871972408745189</c:v>
                </c:pt>
                <c:pt idx="165">
                  <c:v>-1.8750000000000018</c:v>
                </c:pt>
                <c:pt idx="166">
                  <c:v>-1.7605183604470904</c:v>
                </c:pt>
                <c:pt idx="167">
                  <c:v>-1.6438918004590417</c:v>
                </c:pt>
                <c:pt idx="168">
                  <c:v>-1.5252624115342506</c:v>
                </c:pt>
                <c:pt idx="169">
                  <c:v>-1.4047747253096714</c:v>
                </c:pt>
                <c:pt idx="170">
                  <c:v>-1.2825755374712573</c:v>
                </c:pt>
                <c:pt idx="171">
                  <c:v>-1.1588137289060536</c:v>
                </c:pt>
                <c:pt idx="172">
                  <c:v>-1.033640084313746</c:v>
                </c:pt>
                <c:pt idx="173">
                  <c:v>-0.9072071084987545</c:v>
                </c:pt>
                <c:pt idx="174">
                  <c:v>-0.7796688405665995</c:v>
                </c:pt>
                <c:pt idx="175">
                  <c:v>-0.6511806662509889</c:v>
                </c:pt>
                <c:pt idx="176">
                  <c:v>-0.521899128600247</c:v>
                </c:pt>
                <c:pt idx="177">
                  <c:v>-0.39198173725370034</c:v>
                </c:pt>
                <c:pt idx="178">
                  <c:v>-0.26158677654047113</c:v>
                </c:pt>
                <c:pt idx="179">
                  <c:v>-0.1308731126343781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ApparentDip!$D$33</c:f>
              <c:strCache>
                <c:ptCount val="1"/>
                <c:pt idx="0">
                  <c:v>Planar pole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Graphical!$D$187</c:f>
              <c:numCache>
                <c:ptCount val="1"/>
                <c:pt idx="0">
                  <c:v>-1.1659111267327542</c:v>
                </c:pt>
              </c:numCache>
            </c:numRef>
          </c:xVal>
          <c:yVal>
            <c:numRef>
              <c:f>Graphical!$E$187</c:f>
              <c:numCache>
                <c:ptCount val="1"/>
                <c:pt idx="0">
                  <c:v>1.389478773929322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Graphical!$F$188</c:f>
              <c:strCache>
                <c:ptCount val="1"/>
                <c:pt idx="0">
                  <c:v>A.D. Az=110.0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Graphical!$D$188</c:f>
              <c:numCache>
                <c:ptCount val="1"/>
                <c:pt idx="0">
                  <c:v>3.5238473279471565</c:v>
                </c:pt>
              </c:numCache>
            </c:numRef>
          </c:xVal>
          <c:yVal>
            <c:numRef>
              <c:f>Graphical!$E$188</c:f>
              <c:numCache>
                <c:ptCount val="1"/>
                <c:pt idx="0">
                  <c:v>-1.2825755374712577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Graphical!$F$189</c:f>
              <c:strCache>
                <c:ptCount val="1"/>
                <c:pt idx="0">
                  <c:v>True Dip=40.0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Graphical!$D$189</c:f>
              <c:numCache>
                <c:ptCount val="1"/>
                <c:pt idx="0">
                  <c:v>1.4406617368578731</c:v>
                </c:pt>
              </c:numCache>
            </c:numRef>
          </c:xVal>
          <c:yVal>
            <c:numRef>
              <c:f>Graphical!$E$189</c:f>
              <c:numCache>
                <c:ptCount val="1"/>
                <c:pt idx="0">
                  <c:v>-1.716913800613384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Graphical!$F$190</c:f>
              <c:strCache>
                <c:ptCount val="1"/>
                <c:pt idx="0">
                  <c:v>A.D.=36.0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Graphical!$D$190</c:f>
              <c:numCache>
                <c:ptCount val="1"/>
                <c:pt idx="0">
                  <c:v>2.2622471824741264</c:v>
                </c:pt>
              </c:numCache>
            </c:numRef>
          </c:xVal>
          <c:yVal>
            <c:numRef>
              <c:f>Graphical!$E$190</c:f>
              <c:numCache>
                <c:ptCount val="1"/>
                <c:pt idx="0">
                  <c:v>-0.823390636973164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Graphical!$F$191</c:f>
              <c:strCache>
                <c:ptCount val="1"/>
                <c:pt idx="0">
                  <c:v>Equal Area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Graphical!$D$191</c:f>
              <c:numCache>
                <c:ptCount val="1"/>
                <c:pt idx="0">
                  <c:v>-3.1875</c:v>
                </c:pt>
              </c:numCache>
            </c:numRef>
          </c:xVal>
          <c:yVal>
            <c:numRef>
              <c:f>Graphical!$E$191</c:f>
              <c:numCache>
                <c:ptCount val="1"/>
                <c:pt idx="0">
                  <c:v>-3.7125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Graphical!$F$192</c:f>
              <c:strCache>
                <c:ptCount val="1"/>
                <c:pt idx="0">
                  <c:v>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Graphical!$D$192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Graphical!$E$192</c:f>
              <c:numCache>
                <c:ptCount val="1"/>
                <c:pt idx="0">
                  <c:v>3.9375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Graphical!$H$2</c:f>
              <c:strCache>
                <c:ptCount val="1"/>
                <c:pt idx="0">
                  <c:v>Great Circle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Graphical!$P$6:$P$187</c:f>
              <c:numCache>
                <c:ptCount val="182"/>
                <c:pt idx="0">
                  <c:v>-2.872666661696167</c:v>
                </c:pt>
                <c:pt idx="1">
                  <c:v>-2.8242059581181977</c:v>
                </c:pt>
                <c:pt idx="2">
                  <c:v>-2.7755154256627903</c:v>
                </c:pt>
                <c:pt idx="3">
                  <c:v>-2.726607262588743</c:v>
                </c:pt>
                <c:pt idx="4">
                  <c:v>-2.6774933366372524</c:v>
                </c:pt>
                <c:pt idx="5">
                  <c:v>-2.6281851990328167</c:v>
                </c:pt>
                <c:pt idx="6">
                  <c:v>-2.5786940979482167</c:v>
                </c:pt>
                <c:pt idx="7">
                  <c:v>-2.5290309914472364</c:v>
                </c:pt>
                <c:pt idx="8">
                  <c:v>-2.479206559919281</c:v>
                </c:pt>
                <c:pt idx="9">
                  <c:v>-2.429231218020361</c:v>
                </c:pt>
                <c:pt idx="10">
                  <c:v>-2.379115126135216</c:v>
                </c:pt>
                <c:pt idx="11">
                  <c:v>-2.328868201375455</c:v>
                </c:pt>
                <c:pt idx="12">
                  <c:v>-2.2785001281286346</c:v>
                </c:pt>
                <c:pt idx="13">
                  <c:v>-2.228020368173228</c:v>
                </c:pt>
                <c:pt idx="14">
                  <c:v>-2.1774381703743027</c:v>
                </c:pt>
                <c:pt idx="15">
                  <c:v>-2.1267625799746277</c:v>
                </c:pt>
                <c:pt idx="16">
                  <c:v>-2.0760024474956955</c:v>
                </c:pt>
                <c:pt idx="17">
                  <c:v>-2.0251664372629867</c:v>
                </c:pt>
                <c:pt idx="18">
                  <c:v>-1.9742630355694621</c:v>
                </c:pt>
                <c:pt idx="19">
                  <c:v>-1.923300558491064</c:v>
                </c:pt>
                <c:pt idx="20">
                  <c:v>-1.8722871593676256</c:v>
                </c:pt>
                <c:pt idx="21">
                  <c:v>-1.8212308359622913</c:v>
                </c:pt>
                <c:pt idx="22">
                  <c:v>-1.770139437312226</c:v>
                </c:pt>
                <c:pt idx="23">
                  <c:v>-1.7190206702829978</c:v>
                </c:pt>
                <c:pt idx="24">
                  <c:v>-1.6678821058386877</c:v>
                </c:pt>
                <c:pt idx="25">
                  <c:v>-1.6167311850393857</c:v>
                </c:pt>
                <c:pt idx="26">
                  <c:v>-1.5655752247774202</c:v>
                </c:pt>
                <c:pt idx="27">
                  <c:v>-1.514421423263221</c:v>
                </c:pt>
                <c:pt idx="28">
                  <c:v>-1.4632768652714192</c:v>
                </c:pt>
                <c:pt idx="29">
                  <c:v>-1.4121485271574006</c:v>
                </c:pt>
                <c:pt idx="30">
                  <c:v>-1.3610432816541302</c:v>
                </c:pt>
                <c:pt idx="31">
                  <c:v>-1.309967902458806</c:v>
                </c:pt>
                <c:pt idx="32">
                  <c:v>-1.2589290686184367</c:v>
                </c:pt>
                <c:pt idx="33">
                  <c:v>-1.2079333687231995</c:v>
                </c:pt>
                <c:pt idx="34">
                  <c:v>-1.156987304916046</c:v>
                </c:pt>
                <c:pt idx="35">
                  <c:v>-1.1060972967267209</c:v>
                </c:pt>
                <c:pt idx="36">
                  <c:v>-1.0552696847380112</c:v>
                </c:pt>
                <c:pt idx="37">
                  <c:v>-1.0045107340918191</c:v>
                </c:pt>
                <c:pt idx="38">
                  <c:v>-0.95382663784223</c:v>
                </c:pt>
                <c:pt idx="39">
                  <c:v>-0.9032235201625975</c:v>
                </c:pt>
                <c:pt idx="40">
                  <c:v>-0.852707439413266</c:v>
                </c:pt>
                <c:pt idx="41">
                  <c:v>-0.8022843910763784</c:v>
                </c:pt>
                <c:pt idx="42">
                  <c:v>-0.7519603105638901</c:v>
                </c:pt>
                <c:pt idx="43">
                  <c:v>-0.7017410759047114</c:v>
                </c:pt>
                <c:pt idx="44">
                  <c:v>-0.6516325103166035</c:v>
                </c:pt>
                <c:pt idx="45">
                  <c:v>-0.6016403846682915</c:v>
                </c:pt>
                <c:pt idx="46">
                  <c:v>-0.5517704198369768</c:v>
                </c:pt>
                <c:pt idx="47">
                  <c:v>-0.5020282889662382</c:v>
                </c:pt>
                <c:pt idx="48">
                  <c:v>-0.4524196196291047</c:v>
                </c:pt>
                <c:pt idx="49">
                  <c:v>-0.4029499959009122</c:v>
                </c:pt>
                <c:pt idx="50">
                  <c:v>-0.3536249603463066</c:v>
                </c:pt>
                <c:pt idx="51">
                  <c:v>-0.3044500159246207</c:v>
                </c:pt>
                <c:pt idx="52">
                  <c:v>-0.25543062781771275</c:v>
                </c:pt>
                <c:pt idx="53">
                  <c:v>-0.2065722251840663</c:v>
                </c:pt>
                <c:pt idx="54">
                  <c:v>-0.15788020284293497</c:v>
                </c:pt>
                <c:pt idx="55">
                  <c:v>-0.10935992289209094</c:v>
                </c:pt>
                <c:pt idx="56">
                  <c:v>-0.061016716262573184</c:v>
                </c:pt>
                <c:pt idx="57">
                  <c:v>-0.012855884213741193</c:v>
                </c:pt>
                <c:pt idx="58">
                  <c:v>0.03511730022820217</c:v>
                </c:pt>
                <c:pt idx="59">
                  <c:v>0.08289759088521623</c:v>
                </c:pt>
                <c:pt idx="60">
                  <c:v>0.1304797670930199</c:v>
                </c:pt>
                <c:pt idx="61">
                  <c:v>0.17785863241452213</c:v>
                </c:pt>
                <c:pt idx="62">
                  <c:v>0.22502901339836462</c:v>
                </c:pt>
                <c:pt idx="63">
                  <c:v>0.27198575838001104</c:v>
                </c:pt>
                <c:pt idx="64">
                  <c:v>0.31872373632292966</c:v>
                </c:pt>
                <c:pt idx="65">
                  <c:v>0.365237835697402</c:v>
                </c:pt>
                <c:pt idx="66">
                  <c:v>0.41152296339477246</c:v>
                </c:pt>
                <c:pt idx="67">
                  <c:v>0.4575740436748076</c:v>
                </c:pt>
                <c:pt idx="68">
                  <c:v>0.5033860171441259</c:v>
                </c:pt>
                <c:pt idx="69">
                  <c:v>0.5489538397635694</c:v>
                </c:pt>
                <c:pt idx="70">
                  <c:v>0.5942724818826024</c:v>
                </c:pt>
                <c:pt idx="71">
                  <c:v>0.6393369272987416</c:v>
                </c:pt>
                <c:pt idx="72">
                  <c:v>0.6841421723402437</c:v>
                </c:pt>
                <c:pt idx="73">
                  <c:v>0.7286832249702123</c:v>
                </c:pt>
                <c:pt idx="74">
                  <c:v>0.7729551039104023</c:v>
                </c:pt>
                <c:pt idx="75">
                  <c:v>0.8169528377830677</c:v>
                </c:pt>
                <c:pt idx="76">
                  <c:v>0.8606714642692005</c:v>
                </c:pt>
                <c:pt idx="77">
                  <c:v>0.9041060292816041</c:v>
                </c:pt>
                <c:pt idx="78">
                  <c:v>0.9472515861512667</c:v>
                </c:pt>
                <c:pt idx="79">
                  <c:v>0.9901031948255505</c:v>
                </c:pt>
                <c:pt idx="80">
                  <c:v>1.0326559210767476</c:v>
                </c:pt>
                <c:pt idx="81">
                  <c:v>1.0749048357196151</c:v>
                </c:pt>
                <c:pt idx="82">
                  <c:v>1.116845013836496</c:v>
                </c:pt>
                <c:pt idx="83">
                  <c:v>1.158471534008694</c:v>
                </c:pt>
                <c:pt idx="84">
                  <c:v>1.1997794775528268</c:v>
                </c:pt>
                <c:pt idx="85">
                  <c:v>1.2407639277608378</c:v>
                </c:pt>
                <c:pt idx="86">
                  <c:v>1.2814199691424515</c:v>
                </c:pt>
                <c:pt idx="87">
                  <c:v>1.321742686668835</c:v>
                </c:pt>
                <c:pt idx="88">
                  <c:v>1.3617271650162848</c:v>
                </c:pt>
                <c:pt idx="89">
                  <c:v>1.4013684878087167</c:v>
                </c:pt>
                <c:pt idx="90">
                  <c:v>1.4406617368578731</c:v>
                </c:pt>
                <c:pt idx="91">
                  <c:v>1.4796019914000351</c:v>
                </c:pt>
                <c:pt idx="92">
                  <c:v>1.5181843273281699</c:v>
                </c:pt>
                <c:pt idx="93">
                  <c:v>1.5564038164183782</c:v>
                </c:pt>
                <c:pt idx="94">
                  <c:v>1.5942555255495694</c:v>
                </c:pt>
                <c:pt idx="95">
                  <c:v>1.6317345159152548</c:v>
                </c:pt>
                <c:pt idx="96">
                  <c:v>1.6688358422264302</c:v>
                </c:pt>
                <c:pt idx="97">
                  <c:v>1.7055545519044473</c:v>
                </c:pt>
                <c:pt idx="98">
                  <c:v>1.7418856842628576</c:v>
                </c:pt>
                <c:pt idx="99">
                  <c:v>1.7778242696771576</c:v>
                </c:pt>
                <c:pt idx="100">
                  <c:v>1.8133653287414215</c:v>
                </c:pt>
                <c:pt idx="101">
                  <c:v>1.848503871410784</c:v>
                </c:pt>
                <c:pt idx="102">
                  <c:v>1.8832348961287386</c:v>
                </c:pt>
                <c:pt idx="103">
                  <c:v>1.917553388938241</c:v>
                </c:pt>
                <c:pt idx="104">
                  <c:v>1.9514543225756003</c:v>
                </c:pt>
                <c:pt idx="105">
                  <c:v>1.9849326555461215</c:v>
                </c:pt>
                <c:pt idx="106">
                  <c:v>2.0179833311805235</c:v>
                </c:pt>
                <c:pt idx="107">
                  <c:v>2.0506012766710713</c:v>
                </c:pt>
                <c:pt idx="108">
                  <c:v>2.082781402086458</c:v>
                </c:pt>
                <c:pt idx="109">
                  <c:v>2.114518599364388</c:v>
                </c:pt>
                <c:pt idx="110">
                  <c:v>2.1458077412808683</c:v>
                </c:pt>
                <c:pt idx="111">
                  <c:v>2.176643680395195</c:v>
                </c:pt>
                <c:pt idx="112">
                  <c:v>2.2070212479696174</c:v>
                </c:pt>
                <c:pt idx="113">
                  <c:v>2.236935252862674</c:v>
                </c:pt>
                <c:pt idx="114">
                  <c:v>2.266380480395178</c:v>
                </c:pt>
                <c:pt idx="115">
                  <c:v>2.2953516911878573</c:v>
                </c:pt>
                <c:pt idx="116">
                  <c:v>2.323843619969622</c:v>
                </c:pt>
                <c:pt idx="117">
                  <c:v>2.351850974355448</c:v>
                </c:pt>
                <c:pt idx="118">
                  <c:v>2.379368433592894</c:v>
                </c:pt>
                <c:pt idx="119">
                  <c:v>2.4063906472761993</c:v>
                </c:pt>
                <c:pt idx="120">
                  <c:v>2.4329122340270155</c:v>
                </c:pt>
                <c:pt idx="121">
                  <c:v>2.458927780140715</c:v>
                </c:pt>
                <c:pt idx="122">
                  <c:v>2.4844318381973376</c:v>
                </c:pt>
                <c:pt idx="123">
                  <c:v>2.509418925636156</c:v>
                </c:pt>
                <c:pt idx="124">
                  <c:v>2.533883523292885</c:v>
                </c:pt>
                <c:pt idx="125">
                  <c:v>2.5578200738986023</c:v>
                </c:pt>
                <c:pt idx="126">
                  <c:v>2.58122298053939</c:v>
                </c:pt>
                <c:pt idx="127">
                  <c:v>2.6040866050757856</c:v>
                </c:pt>
                <c:pt idx="128">
                  <c:v>2.6264052665211257</c:v>
                </c:pt>
                <c:pt idx="129">
                  <c:v>2.648173239377889</c:v>
                </c:pt>
                <c:pt idx="130">
                  <c:v>2.6693847519311587</c:v>
                </c:pt>
                <c:pt idx="131">
                  <c:v>2.690033984498402</c:v>
                </c:pt>
                <c:pt idx="132">
                  <c:v>2.710115067634733</c:v>
                </c:pt>
                <c:pt idx="133">
                  <c:v>2.729622080292906</c:v>
                </c:pt>
                <c:pt idx="134">
                  <c:v>2.748549047937348</c:v>
                </c:pt>
                <c:pt idx="135">
                  <c:v>2.7668899406115304</c:v>
                </c:pt>
                <c:pt idx="136">
                  <c:v>2.7846386709581035</c:v>
                </c:pt>
                <c:pt idx="137">
                  <c:v>2.801789092191239</c:v>
                </c:pt>
                <c:pt idx="138">
                  <c:v>2.8183349960207247</c:v>
                </c:pt>
                <c:pt idx="139">
                  <c:v>2.834270110527417</c:v>
                </c:pt>
                <c:pt idx="140">
                  <c:v>2.849588097989768</c:v>
                </c:pt>
                <c:pt idx="141">
                  <c:v>2.8642825526612468</c:v>
                </c:pt>
                <c:pt idx="142">
                  <c:v>2.878346998498554</c:v>
                </c:pt>
                <c:pt idx="143">
                  <c:v>2.8917748868407225</c:v>
                </c:pt>
                <c:pt idx="144">
                  <c:v>2.9045595940392626</c:v>
                </c:pt>
                <c:pt idx="145">
                  <c:v>2.9166944190397253</c:v>
                </c:pt>
                <c:pt idx="146">
                  <c:v>2.928172580915192</c:v>
                </c:pt>
                <c:pt idx="147">
                  <c:v>2.9389872163524173</c:v>
                </c:pt>
                <c:pt idx="148">
                  <c:v>2.9491313770915304</c:v>
                </c:pt>
                <c:pt idx="149">
                  <c:v>2.958598027320455</c:v>
                </c:pt>
                <c:pt idx="150">
                  <c:v>2.96738004102546</c:v>
                </c:pt>
                <c:pt idx="151">
                  <c:v>2.975470199299504</c:v>
                </c:pt>
                <c:pt idx="152">
                  <c:v>2.9828611876103817</c:v>
                </c:pt>
                <c:pt idx="153">
                  <c:v>2.989545593030977</c:v>
                </c:pt>
                <c:pt idx="154">
                  <c:v>2.9955159014343153</c:v>
                </c:pt>
                <c:pt idx="155">
                  <c:v>3.000764494656497</c:v>
                </c:pt>
                <c:pt idx="156">
                  <c:v>3.005283647631031</c:v>
                </c:pt>
                <c:pt idx="157">
                  <c:v>3.009065525498567</c:v>
                </c:pt>
                <c:pt idx="158">
                  <c:v>3.012102180696535</c:v>
                </c:pt>
                <c:pt idx="159">
                  <c:v>3.014385550033771</c:v>
                </c:pt>
                <c:pt idx="160">
                  <c:v>3.015907451755824</c:v>
                </c:pt>
                <c:pt idx="161">
                  <c:v>3.016659582607304</c:v>
                </c:pt>
                <c:pt idx="162">
                  <c:v>3.016633514898352</c:v>
                </c:pt>
                <c:pt idx="163">
                  <c:v>3.015820693583122</c:v>
                </c:pt>
                <c:pt idx="164">
                  <c:v>3.014212433358994</c:v>
                </c:pt>
                <c:pt idx="165">
                  <c:v>3.0117999157961752</c:v>
                </c:pt>
                <c:pt idx="166">
                  <c:v>3.0085741865083753</c:v>
                </c:pt>
                <c:pt idx="167">
                  <c:v>3.0045261523762834</c:v>
                </c:pt>
                <c:pt idx="168">
                  <c:v>2.9996465788368085</c:v>
                </c:pt>
                <c:pt idx="169">
                  <c:v>2.993926087252244</c:v>
                </c:pt>
                <c:pt idx="170">
                  <c:v>2.9873551523749904</c:v>
                </c:pt>
                <c:pt idx="171">
                  <c:v>2.9799240999248497</c:v>
                </c:pt>
                <c:pt idx="172">
                  <c:v>2.971623104297585</c:v>
                </c:pt>
                <c:pt idx="173">
                  <c:v>2.962442186425119</c:v>
                </c:pt>
                <c:pt idx="174">
                  <c:v>2.9523712118096146</c:v>
                </c:pt>
                <c:pt idx="175">
                  <c:v>2.9413998887556683</c:v>
                </c:pt>
                <c:pt idx="176">
                  <c:v>2.929517766827008</c:v>
                </c:pt>
                <c:pt idx="177">
                  <c:v>2.9167142355563596</c:v>
                </c:pt>
                <c:pt idx="178">
                  <c:v>2.9029785234396437</c:v>
                </c:pt>
                <c:pt idx="179">
                  <c:v>2.8882996972482706</c:v>
                </c:pt>
                <c:pt idx="180">
                  <c:v>2.872666661696167</c:v>
                </c:pt>
                <c:pt idx="181">
                  <c:v>-2.8242059581181955</c:v>
                </c:pt>
              </c:numCache>
            </c:numRef>
          </c:xVal>
          <c:yVal>
            <c:numRef>
              <c:f>Graphical!$Q$6:$Q$187</c:f>
              <c:numCache>
                <c:ptCount val="182"/>
                <c:pt idx="0">
                  <c:v>-2.410453536324523</c:v>
                </c:pt>
                <c:pt idx="1">
                  <c:v>-2.434872666193596</c:v>
                </c:pt>
                <c:pt idx="2">
                  <c:v>-2.458363391516511</c:v>
                </c:pt>
                <c:pt idx="3">
                  <c:v>-2.480934827859871</c:v>
                </c:pt>
                <c:pt idx="4">
                  <c:v>-2.502595984511964</c:v>
                </c:pt>
                <c:pt idx="5">
                  <c:v>-2.5233557623521445</c:v>
                </c:pt>
                <c:pt idx="6">
                  <c:v>-2.543222952174902</c:v>
                </c:pt>
                <c:pt idx="7">
                  <c:v>-2.5622062334290323</c:v>
                </c:pt>
                <c:pt idx="8">
                  <c:v>-2.5803141733351103</c:v>
                </c:pt>
                <c:pt idx="9">
                  <c:v>-2.597555226347092</c:v>
                </c:pt>
                <c:pt idx="10">
                  <c:v>-2.6139377339262997</c:v>
                </c:pt>
                <c:pt idx="11">
                  <c:v>-2.629469924598406</c:v>
                </c:pt>
                <c:pt idx="12">
                  <c:v>-2.6441599142661554</c:v>
                </c:pt>
                <c:pt idx="13">
                  <c:v>-2.6580157067526176</c:v>
                </c:pt>
                <c:pt idx="14">
                  <c:v>-2.6710451945516467</c:v>
                </c:pt>
                <c:pt idx="15">
                  <c:v>-2.683256159764012</c:v>
                </c:pt>
                <c:pt idx="16">
                  <c:v>-2.694656275199312</c:v>
                </c:pt>
                <c:pt idx="17">
                  <c:v>-2.705253105625327</c:v>
                </c:pt>
                <c:pt idx="18">
                  <c:v>-2.7150541091479288</c:v>
                </c:pt>
                <c:pt idx="19">
                  <c:v>-2.724066638705968</c:v>
                </c:pt>
                <c:pt idx="20">
                  <c:v>-2.7322979436668664</c:v>
                </c:pt>
                <c:pt idx="21">
                  <c:v>-2.739755171509756</c:v>
                </c:pt>
                <c:pt idx="22">
                  <c:v>-2.7464453695841016</c:v>
                </c:pt>
                <c:pt idx="23">
                  <c:v>-2.7523754869327677</c:v>
                </c:pt>
                <c:pt idx="24">
                  <c:v>-2.7575523761693996</c:v>
                </c:pt>
                <c:pt idx="25">
                  <c:v>-2.7619827954008738</c:v>
                </c:pt>
                <c:pt idx="26">
                  <c:v>-2.7656734101863414</c:v>
                </c:pt>
                <c:pt idx="27">
                  <c:v>-2.7686307955251857</c:v>
                </c:pt>
                <c:pt idx="28">
                  <c:v>-2.770861437866843</c:v>
                </c:pt>
                <c:pt idx="29">
                  <c:v>-2.772371737136128</c:v>
                </c:pt>
                <c:pt idx="30">
                  <c:v>-2.7731680087682533</c:v>
                </c:pt>
                <c:pt idx="31">
                  <c:v>-2.773256485748297</c:v>
                </c:pt>
                <c:pt idx="32">
                  <c:v>-2.7726433206503853</c:v>
                </c:pt>
                <c:pt idx="33">
                  <c:v>-2.771334587672286</c:v>
                </c:pt>
                <c:pt idx="34">
                  <c:v>-2.7693362846615805</c:v>
                </c:pt>
                <c:pt idx="35">
                  <c:v>-2.766654335129952</c:v>
                </c:pt>
                <c:pt idx="36">
                  <c:v>-2.7632945902524964</c:v>
                </c:pt>
                <c:pt idx="37">
                  <c:v>-2.7592628308493046</c:v>
                </c:pt>
                <c:pt idx="38">
                  <c:v>-2.754564769346864</c:v>
                </c:pt>
                <c:pt idx="39">
                  <c:v>-2.7492060517171213</c:v>
                </c:pt>
                <c:pt idx="40">
                  <c:v>-2.743192259392308</c:v>
                </c:pt>
                <c:pt idx="41">
                  <c:v>-2.736528911153864</c:v>
                </c:pt>
                <c:pt idx="42">
                  <c:v>-2.729221464994019</c:v>
                </c:pt>
                <c:pt idx="43">
                  <c:v>-2.7212753199488007</c:v>
                </c:pt>
                <c:pt idx="44">
                  <c:v>-2.7126958179014067</c:v>
                </c:pt>
                <c:pt idx="45">
                  <c:v>-2.7034882453550777</c:v>
                </c:pt>
                <c:pt idx="46">
                  <c:v>-2.6936578351747156</c:v>
                </c:pt>
                <c:pt idx="47">
                  <c:v>-2.683209768296691</c:v>
                </c:pt>
                <c:pt idx="48">
                  <c:v>-2.6721491754063713</c:v>
                </c:pt>
                <c:pt idx="49">
                  <c:v>-2.660481138583027</c:v>
                </c:pt>
                <c:pt idx="50">
                  <c:v>-2.6482106929119116</c:v>
                </c:pt>
                <c:pt idx="51">
                  <c:v>-2.6353428280633553</c:v>
                </c:pt>
                <c:pt idx="52">
                  <c:v>-2.621882489838859</c:v>
                </c:pt>
                <c:pt idx="53">
                  <c:v>-2.607834581684221</c:v>
                </c:pt>
                <c:pt idx="54">
                  <c:v>-2.5932039661698023</c:v>
                </c:pt>
                <c:pt idx="55">
                  <c:v>-2.57799546643813</c:v>
                </c:pt>
                <c:pt idx="56">
                  <c:v>-2.562213867619083</c:v>
                </c:pt>
                <c:pt idx="57">
                  <c:v>-2.545863918212941</c:v>
                </c:pt>
                <c:pt idx="58">
                  <c:v>-2.5289503314416684</c:v>
                </c:pt>
                <c:pt idx="59">
                  <c:v>-2.511477786568818</c:v>
                </c:pt>
                <c:pt idx="60">
                  <c:v>-2.493450930188487</c:v>
                </c:pt>
                <c:pt idx="61">
                  <c:v>-2.474874377483805</c:v>
                </c:pt>
                <c:pt idx="62">
                  <c:v>-2.455752713455462</c:v>
                </c:pt>
                <c:pt idx="63">
                  <c:v>-2.4360904941207906</c:v>
                </c:pt>
                <c:pt idx="64">
                  <c:v>-2.4158922476840003</c:v>
                </c:pt>
                <c:pt idx="65">
                  <c:v>-2.3951624756781187</c:v>
                </c:pt>
                <c:pt idx="66">
                  <c:v>-2.373905654079263</c:v>
                </c:pt>
                <c:pt idx="67">
                  <c:v>-2.3521262343938685</c:v>
                </c:pt>
                <c:pt idx="68">
                  <c:v>-2.32982864471952</c:v>
                </c:pt>
                <c:pt idx="69">
                  <c:v>-2.30701729078004</c:v>
                </c:pt>
                <c:pt idx="70">
                  <c:v>-2.2836965569355203</c:v>
                </c:pt>
                <c:pt idx="71">
                  <c:v>-2.2598708071679856</c:v>
                </c:pt>
                <c:pt idx="72">
                  <c:v>-2.2355443860433795</c:v>
                </c:pt>
                <c:pt idx="73">
                  <c:v>-2.210721619650593</c:v>
                </c:pt>
                <c:pt idx="74">
                  <c:v>-2.1854068165182663</c:v>
                </c:pt>
                <c:pt idx="75">
                  <c:v>-2.1596042685100723</c:v>
                </c:pt>
                <c:pt idx="76">
                  <c:v>-2.1333182516992544</c:v>
                </c:pt>
                <c:pt idx="77">
                  <c:v>-2.1065530272231303</c:v>
                </c:pt>
                <c:pt idx="78">
                  <c:v>-2.0793128421183646</c:v>
                </c:pt>
                <c:pt idx="79">
                  <c:v>-2.0516019301377293</c:v>
                </c:pt>
                <c:pt idx="80">
                  <c:v>-2.023424512549163</c:v>
                </c:pt>
                <c:pt idx="81">
                  <c:v>-1.9947847989178935</c:v>
                </c:pt>
                <c:pt idx="82">
                  <c:v>-1.9656869878724093</c:v>
                </c:pt>
                <c:pt idx="83">
                  <c:v>-1.9361352678551</c:v>
                </c:pt>
                <c:pt idx="84">
                  <c:v>-1.9061338178583465</c:v>
                </c:pt>
                <c:pt idx="85">
                  <c:v>-1.8756868081468965</c:v>
                </c:pt>
                <c:pt idx="86">
                  <c:v>-1.8447984009673477</c:v>
                </c:pt>
                <c:pt idx="87">
                  <c:v>-1.8134727512455673</c:v>
                </c:pt>
                <c:pt idx="88">
                  <c:v>-1.7817140072729</c:v>
                </c:pt>
                <c:pt idx="89">
                  <c:v>-1.7495263113820365</c:v>
                </c:pt>
                <c:pt idx="90">
                  <c:v>-1.716913800613384</c:v>
                </c:pt>
                <c:pt idx="91">
                  <c:v>-1.683880607372855</c:v>
                </c:pt>
                <c:pt idx="92">
                  <c:v>-1.6504308600819533</c:v>
                </c:pt>
                <c:pt idx="93">
                  <c:v>-1.6165686838210815</c:v>
                </c:pt>
                <c:pt idx="94">
                  <c:v>-1.5822982009669957</c:v>
                </c:pt>
                <c:pt idx="95">
                  <c:v>-1.5476235318253608</c:v>
                </c:pt>
                <c:pt idx="96">
                  <c:v>-1.5125487952593701</c:v>
                </c:pt>
                <c:pt idx="97">
                  <c:v>-1.4770781093154202</c:v>
                </c:pt>
                <c:pt idx="98">
                  <c:v>-1.4412155918468497</c:v>
                </c:pt>
                <c:pt idx="99">
                  <c:v>-1.4049653611367772</c:v>
                </c:pt>
                <c:pt idx="100">
                  <c:v>-1.3683315365211022</c:v>
                </c:pt>
                <c:pt idx="101">
                  <c:v>-1.3313182390127318</c:v>
                </c:pt>
                <c:pt idx="102">
                  <c:v>-1.2939295919281781</c:v>
                </c:pt>
                <c:pt idx="103">
                  <c:v>-1.2561697215176573</c:v>
                </c:pt>
                <c:pt idx="104">
                  <c:v>-1.218042757599854</c:v>
                </c:pt>
                <c:pt idx="105">
                  <c:v>-1.1795528342025863</c:v>
                </c:pt>
                <c:pt idx="106">
                  <c:v>-1.1407040902106038</c:v>
                </c:pt>
                <c:pt idx="107">
                  <c:v>-1.1015006700218135</c:v>
                </c:pt>
                <c:pt idx="108">
                  <c:v>-1.0619467242132556</c:v>
                </c:pt>
                <c:pt idx="109">
                  <c:v>-1.022046410218218</c:v>
                </c:pt>
                <c:pt idx="110">
                  <c:v>-0.9818038930158889</c:v>
                </c:pt>
                <c:pt idx="111">
                  <c:v>-0.9412233458350369</c:v>
                </c:pt>
                <c:pt idx="112">
                  <c:v>-0.9003089508732278</c:v>
                </c:pt>
                <c:pt idx="113">
                  <c:v>-0.8590649000331714</c:v>
                </c:pt>
                <c:pt idx="114">
                  <c:v>-0.8174953956778155</c:v>
                </c:pt>
                <c:pt idx="115">
                  <c:v>-0.7756046514059184</c:v>
                </c:pt>
                <c:pt idx="116">
                  <c:v>-0.7333968928498279</c:v>
                </c:pt>
                <c:pt idx="117">
                  <c:v>-0.6908763584973472</c:v>
                </c:pt>
                <c:pt idx="118">
                  <c:v>-0.6480473005395555</c:v>
                </c:pt>
                <c:pt idx="119">
                  <c:v>-0.6049139857466098</c:v>
                </c:pt>
                <c:pt idx="120">
                  <c:v>-0.5614806963735759</c:v>
                </c:pt>
                <c:pt idx="121">
                  <c:v>-0.5177517310984441</c:v>
                </c:pt>
                <c:pt idx="122">
                  <c:v>-0.4737314059946155</c:v>
                </c:pt>
                <c:pt idx="123">
                  <c:v>-0.4294240555401471</c:v>
                </c:pt>
                <c:pt idx="124">
                  <c:v>-0.3848340336662617</c:v>
                </c:pt>
                <c:pt idx="125">
                  <c:v>-0.3399657148476383</c:v>
                </c:pt>
                <c:pt idx="126">
                  <c:v>-0.2948234952371789</c:v>
                </c:pt>
                <c:pt idx="127">
                  <c:v>-0.24941179384801349</c:v>
                </c:pt>
                <c:pt idx="128">
                  <c:v>-0.20373505378569093</c:v>
                </c:pt>
                <c:pt idx="129">
                  <c:v>-0.15779774353355788</c:v>
                </c:pt>
                <c:pt idx="130">
                  <c:v>-0.11160435829455455</c:v>
                </c:pt>
                <c:pt idx="131">
                  <c:v>-0.06515942139272403</c:v>
                </c:pt>
                <c:pt idx="132">
                  <c:v>-0.01846748573792819</c:v>
                </c:pt>
                <c:pt idx="133">
                  <c:v>0.028466864642578683</c:v>
                </c:pt>
                <c:pt idx="134">
                  <c:v>0.0756390130019207</c:v>
                </c:pt>
                <c:pt idx="135">
                  <c:v>0.12304430819670596</c:v>
                </c:pt>
                <c:pt idx="136">
                  <c:v>0.17067806293131876</c:v>
                </c:pt>
                <c:pt idx="137">
                  <c:v>0.2185355519189883</c:v>
                </c:pt>
                <c:pt idx="138">
                  <c:v>0.26661200995510703</c:v>
                </c:pt>
                <c:pt idx="139">
                  <c:v>0.3149026298979599</c:v>
                </c:pt>
                <c:pt idx="140">
                  <c:v>0.3634025605518694</c:v>
                </c:pt>
                <c:pt idx="141">
                  <c:v>0.4121069044475313</c:v>
                </c:pt>
                <c:pt idx="142">
                  <c:v>0.46101071551398615</c:v>
                </c:pt>
                <c:pt idx="143">
                  <c:v>0.5101089966365326</c:v>
                </c:pt>
                <c:pt idx="144">
                  <c:v>0.5593966970945113</c:v>
                </c:pt>
                <c:pt idx="145">
                  <c:v>0.6088687098726924</c:v>
                </c:pt>
                <c:pt idx="146">
                  <c:v>0.6585198688396325</c:v>
                </c:pt>
                <c:pt idx="147">
                  <c:v>0.7083449457861352</c:v>
                </c:pt>
                <c:pt idx="148">
                  <c:v>0.7583386473165505</c:v>
                </c:pt>
                <c:pt idx="149">
                  <c:v>0.8084956115853874</c:v>
                </c:pt>
                <c:pt idx="150">
                  <c:v>0.8588104048713318</c:v>
                </c:pt>
                <c:pt idx="151">
                  <c:v>0.9092775179803885</c:v>
                </c:pt>
                <c:pt idx="152">
                  <c:v>0.9598913624695482</c:v>
                </c:pt>
                <c:pt idx="153">
                  <c:v>1.0106462666819116</c:v>
                </c:pt>
                <c:pt idx="154">
                  <c:v>1.061536471583893</c:v>
                </c:pt>
                <c:pt idx="155">
                  <c:v>1.1125561263946289</c:v>
                </c:pt>
                <c:pt idx="156">
                  <c:v>1.1636992839973406</c:v>
                </c:pt>
                <c:pt idx="157">
                  <c:v>1.2149598961219372</c:v>
                </c:pt>
                <c:pt idx="158">
                  <c:v>1.2663318082876904</c:v>
                </c:pt>
                <c:pt idx="159">
                  <c:v>1.3178087544943538</c:v>
                </c:pt>
                <c:pt idx="160">
                  <c:v>1.3693843516495905</c:v>
                </c:pt>
                <c:pt idx="161">
                  <c:v>1.4210520937201416</c:v>
                </c:pt>
                <c:pt idx="162">
                  <c:v>1.472805345593576</c:v>
                </c:pt>
                <c:pt idx="163">
                  <c:v>1.5246373366370605</c:v>
                </c:pt>
                <c:pt idx="164">
                  <c:v>1.576541153938964</c:v>
                </c:pt>
                <c:pt idx="165">
                  <c:v>1.6285097352186741</c:v>
                </c:pt>
                <c:pt idx="166">
                  <c:v>1.6805358613894277</c:v>
                </c:pt>
                <c:pt idx="167">
                  <c:v>1.73261214875844</c:v>
                </c:pt>
                <c:pt idx="168">
                  <c:v>1.7847310408481258</c:v>
                </c:pt>
                <c:pt idx="169">
                  <c:v>1.8368847998216318</c:v>
                </c:pt>
                <c:pt idx="170">
                  <c:v>1.8890654974954526</c:v>
                </c:pt>
                <c:pt idx="171">
                  <c:v>1.9412650059213585</c:v>
                </c:pt>
                <c:pt idx="172">
                  <c:v>1.993474987519442</c:v>
                </c:pt>
                <c:pt idx="173">
                  <c:v>2.045686884743591</c:v>
                </c:pt>
                <c:pt idx="174">
                  <c:v>2.0978919092603436</c:v>
                </c:pt>
                <c:pt idx="175">
                  <c:v>2.1500810306216556</c:v>
                </c:pt>
                <c:pt idx="176">
                  <c:v>2.202244964411814</c:v>
                </c:pt>
                <c:pt idx="177">
                  <c:v>2.254374159848503</c:v>
                </c:pt>
                <c:pt idx="178">
                  <c:v>2.306458786817759</c:v>
                </c:pt>
                <c:pt idx="179">
                  <c:v>2.358488722322536</c:v>
                </c:pt>
                <c:pt idx="180">
                  <c:v>2.410453536324523</c:v>
                </c:pt>
                <c:pt idx="181">
                  <c:v>-2.4348726661935984</c:v>
                </c:pt>
              </c:numCache>
            </c:numRef>
          </c:yVal>
          <c:smooth val="0"/>
        </c:ser>
        <c:ser>
          <c:idx val="8"/>
          <c:order val="8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Graphical!$D$193:$D$194</c:f>
              <c:numCache>
                <c:ptCount val="2"/>
                <c:pt idx="0">
                  <c:v>0</c:v>
                </c:pt>
                <c:pt idx="1">
                  <c:v>3.5238473279471565</c:v>
                </c:pt>
              </c:numCache>
            </c:numRef>
          </c:xVal>
          <c:yVal>
            <c:numRef>
              <c:f>Graphical!$E$193:$E$194</c:f>
              <c:numCache>
                <c:ptCount val="2"/>
                <c:pt idx="0">
                  <c:v>0</c:v>
                </c:pt>
                <c:pt idx="1">
                  <c:v>-1.2825755374712577</c:v>
                </c:pt>
              </c:numCache>
            </c:numRef>
          </c:yVal>
          <c:smooth val="0"/>
        </c:ser>
        <c:axId val="18211303"/>
        <c:axId val="29684000"/>
      </c:scatterChart>
      <c:valAx>
        <c:axId val="18211303"/>
        <c:scaling>
          <c:orientation val="minMax"/>
          <c:max val="4"/>
          <c:min val="-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684000"/>
        <c:crossesAt val="-4"/>
        <c:crossBetween val="midCat"/>
        <c:dispUnits/>
        <c:minorUnit val="0.5"/>
      </c:valAx>
      <c:valAx>
        <c:axId val="29684000"/>
        <c:scaling>
          <c:orientation val="minMax"/>
          <c:max val="4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211303"/>
        <c:crossesAt val="-4"/>
        <c:crossBetween val="midCat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0.8495</cdr:x>
      <cdr:y>0.9295</cdr:y>
    </cdr:from>
    <cdr:to>
      <cdr:x>0.885</cdr:x>
      <cdr:y>0.99175</cdr:y>
    </cdr:to>
    <cdr:sp macro="[0]!IncAppDip">
      <cdr:nvSpPr>
        <cdr:cNvPr id="1" name="AutoShape 1"/>
        <cdr:cNvSpPr>
          <a:spLocks/>
        </cdr:cNvSpPr>
      </cdr:nvSpPr>
      <cdr:spPr>
        <a:xfrm>
          <a:off x="3476625" y="3705225"/>
          <a:ext cx="142875" cy="247650"/>
        </a:xfrm>
        <a:prstGeom prst="up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0.90475</cdr:x>
      <cdr:y>0.9295</cdr:y>
    </cdr:from>
    <cdr:to>
      <cdr:x>0.936</cdr:x>
      <cdr:y>0.9885</cdr:y>
    </cdr:to>
    <cdr:sp macro="[0]!AppDipDec">
      <cdr:nvSpPr>
        <cdr:cNvPr id="2" name="AutoShape 2"/>
        <cdr:cNvSpPr>
          <a:spLocks/>
        </cdr:cNvSpPr>
      </cdr:nvSpPr>
      <cdr:spPr>
        <a:xfrm>
          <a:off x="3705225" y="3705225"/>
          <a:ext cx="123825" cy="238125"/>
        </a:xfrm>
        <a:prstGeom prst="down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3</xdr:col>
      <xdr:colOff>104775</xdr:colOff>
      <xdr:row>25</xdr:row>
      <xdr:rowOff>47625</xdr:rowOff>
    </xdr:to>
    <xdr:graphicFrame>
      <xdr:nvGraphicFramePr>
        <xdr:cNvPr id="1" name="Chart 4"/>
        <xdr:cNvGraphicFramePr/>
      </xdr:nvGraphicFramePr>
      <xdr:xfrm>
        <a:off x="0" y="285750"/>
        <a:ext cx="40957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usouthal.edu/geography/allison/GY403/Rot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tation"/>
      <sheetName val="Documentation"/>
      <sheetName val="Graphical"/>
      <sheetName val="Acumulate"/>
    </sheetNames>
    <sheetDataSet>
      <sheetData sheetId="0">
        <row r="29">
          <cell r="C29">
            <v>0.7071067811865476</v>
          </cell>
          <cell r="F29">
            <v>0.13917310096006547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 transitionEntry="1">
    <pageSetUpPr fitToPage="1"/>
  </sheetPr>
  <dimension ref="A1:V43"/>
  <sheetViews>
    <sheetView tabSelected="1" zoomScalePageLayoutView="0" workbookViewId="0" topLeftCell="A1">
      <selection activeCell="B31" sqref="B31"/>
    </sheetView>
  </sheetViews>
  <sheetFormatPr defaultColWidth="9.75390625" defaultRowHeight="12.75"/>
  <cols>
    <col min="1" max="1" width="18.50390625" style="0" customWidth="1"/>
    <col min="2" max="2" width="15.875" style="0" customWidth="1"/>
    <col min="3" max="3" width="18.00390625" style="0" customWidth="1"/>
    <col min="4" max="4" width="14.125" style="0" customWidth="1"/>
    <col min="5" max="5" width="17.25390625" style="0" customWidth="1"/>
    <col min="6" max="6" width="12.75390625" style="0" customWidth="1"/>
    <col min="7" max="7" width="14.75390625" style="0" customWidth="1"/>
    <col min="8" max="8" width="14.50390625" style="0" customWidth="1"/>
    <col min="9" max="9" width="16.50390625" style="0" customWidth="1"/>
    <col min="10" max="10" width="12.75390625" style="0" customWidth="1"/>
    <col min="11" max="12" width="10.75390625" style="0" customWidth="1"/>
    <col min="13" max="13" width="13.75390625" style="0" customWidth="1"/>
    <col min="14" max="14" width="11.75390625" style="0" customWidth="1"/>
    <col min="15" max="15" width="12.75390625" style="0" customWidth="1"/>
    <col min="16" max="17" width="10.75390625" style="0" customWidth="1"/>
    <col min="18" max="18" width="12.75390625" style="0" customWidth="1"/>
    <col min="19" max="20" width="9.75390625" style="0" customWidth="1"/>
    <col min="21" max="21" width="8.75390625" style="0" customWidth="1"/>
  </cols>
  <sheetData>
    <row r="1" spans="1:8" ht="18">
      <c r="A1" s="30" t="s">
        <v>45</v>
      </c>
      <c r="B1" s="11"/>
      <c r="C1" s="11"/>
      <c r="D1" s="11"/>
      <c r="E1" s="11"/>
      <c r="F1" s="11"/>
      <c r="G1" s="11"/>
      <c r="H1" s="12"/>
    </row>
    <row r="2" spans="1:8" ht="12.75">
      <c r="A2" s="13"/>
      <c r="B2" s="11"/>
      <c r="C2" s="11"/>
      <c r="D2" s="11"/>
      <c r="E2" s="11"/>
      <c r="F2" s="11"/>
      <c r="G2" s="11"/>
      <c r="H2" s="12"/>
    </row>
    <row r="3" spans="1:8" ht="15">
      <c r="A3" s="14"/>
      <c r="B3" s="11"/>
      <c r="C3" s="11"/>
      <c r="D3" s="11"/>
      <c r="E3" s="11"/>
      <c r="F3" s="36"/>
      <c r="G3" s="31"/>
      <c r="H3" s="36"/>
    </row>
    <row r="4" spans="1:8" ht="13.5">
      <c r="A4" s="15"/>
      <c r="B4" s="11"/>
      <c r="C4" s="11"/>
      <c r="D4" s="11"/>
      <c r="E4" s="11"/>
      <c r="F4" s="36"/>
      <c r="G4" s="33"/>
      <c r="H4" s="32"/>
    </row>
    <row r="5" spans="1:10" ht="12.75">
      <c r="A5" s="15"/>
      <c r="B5" s="11"/>
      <c r="C5" s="11"/>
      <c r="D5" s="11"/>
      <c r="E5" s="11"/>
      <c r="F5" s="31"/>
      <c r="G5" s="31"/>
      <c r="H5" s="31"/>
      <c r="J5" s="4"/>
    </row>
    <row r="6" spans="1:10" ht="13.5">
      <c r="A6" s="15"/>
      <c r="B6" s="11"/>
      <c r="C6" s="11"/>
      <c r="D6" s="11"/>
      <c r="E6" s="11"/>
      <c r="F6" s="31"/>
      <c r="G6" s="31"/>
      <c r="H6" s="32"/>
      <c r="J6" s="4"/>
    </row>
    <row r="7" spans="1:8" ht="13.5">
      <c r="A7" s="15"/>
      <c r="B7" s="11"/>
      <c r="C7" s="11"/>
      <c r="D7" s="11"/>
      <c r="E7" s="11"/>
      <c r="F7" s="31"/>
      <c r="G7" s="36"/>
      <c r="H7" s="32"/>
    </row>
    <row r="8" spans="1:8" ht="12.75">
      <c r="A8" s="15"/>
      <c r="B8" s="11"/>
      <c r="C8" s="11"/>
      <c r="D8" s="11"/>
      <c r="E8" s="11"/>
      <c r="F8" s="11"/>
      <c r="G8" s="11"/>
      <c r="H8" s="12"/>
    </row>
    <row r="9" spans="1:21" ht="12.75">
      <c r="A9" s="16"/>
      <c r="B9" s="13"/>
      <c r="C9" s="13"/>
      <c r="D9" s="13"/>
      <c r="E9" s="13"/>
      <c r="F9" s="13"/>
      <c r="G9" s="13"/>
      <c r="H9" s="1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2.75">
      <c r="A10" s="16"/>
      <c r="B10" s="13"/>
      <c r="C10" s="13"/>
      <c r="D10" s="13"/>
      <c r="E10" s="13"/>
      <c r="F10" s="13"/>
      <c r="G10" s="13"/>
      <c r="H10" s="1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2.75">
      <c r="A11" s="18"/>
      <c r="B11" s="13"/>
      <c r="C11" s="13"/>
      <c r="D11" s="13"/>
      <c r="E11" s="13"/>
      <c r="F11" s="13"/>
      <c r="G11" s="13"/>
      <c r="H11" s="1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2.75">
      <c r="A12" s="15"/>
      <c r="B12" s="19"/>
      <c r="C12" s="19"/>
      <c r="D12" s="19"/>
      <c r="E12" s="19"/>
      <c r="F12" s="19"/>
      <c r="G12" s="19"/>
      <c r="H12" s="20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2.75">
      <c r="A13" s="15"/>
      <c r="B13" s="19"/>
      <c r="C13" s="19"/>
      <c r="D13" s="19"/>
      <c r="E13" s="19"/>
      <c r="F13" s="19"/>
      <c r="G13" s="19"/>
      <c r="H13" s="2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2.75">
      <c r="A14" s="15"/>
      <c r="B14" s="19"/>
      <c r="C14" s="19"/>
      <c r="D14" s="19"/>
      <c r="E14" s="19"/>
      <c r="F14" s="19"/>
      <c r="G14" s="19"/>
      <c r="H14" s="20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2.75">
      <c r="A15" s="29"/>
      <c r="B15" s="19"/>
      <c r="C15" s="19"/>
      <c r="D15" s="19"/>
      <c r="E15" s="19"/>
      <c r="F15" s="19"/>
      <c r="G15" s="19"/>
      <c r="H15" s="20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5">
      <c r="A16" s="21"/>
      <c r="B16" s="19"/>
      <c r="C16" s="19"/>
      <c r="D16" s="19"/>
      <c r="E16" s="19"/>
      <c r="F16" s="19"/>
      <c r="G16" s="19"/>
      <c r="H16" s="20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15"/>
      <c r="B17" s="19"/>
      <c r="C17" s="19"/>
      <c r="D17" s="19"/>
      <c r="E17" s="19"/>
      <c r="F17" s="19"/>
      <c r="G17" s="19"/>
      <c r="H17" s="20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15"/>
      <c r="B18" s="19"/>
      <c r="C18" s="19"/>
      <c r="D18" s="19"/>
      <c r="E18" s="19"/>
      <c r="F18" s="19"/>
      <c r="G18" s="19"/>
      <c r="H18" s="20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15"/>
      <c r="B19" s="19"/>
      <c r="C19" s="19"/>
      <c r="D19" s="19"/>
      <c r="E19" s="19"/>
      <c r="F19" s="19"/>
      <c r="G19" s="19"/>
      <c r="H19" s="20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15"/>
      <c r="B20" s="19"/>
      <c r="C20" s="19"/>
      <c r="D20" s="19"/>
      <c r="E20" s="19"/>
      <c r="F20" s="19"/>
      <c r="G20" s="19"/>
      <c r="H20" s="20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15"/>
      <c r="B21" s="19"/>
      <c r="C21" s="19"/>
      <c r="D21" s="19"/>
      <c r="E21" s="19"/>
      <c r="F21" s="36"/>
      <c r="G21" s="36" t="s">
        <v>125</v>
      </c>
      <c r="H21" s="36" t="s">
        <v>115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3.5">
      <c r="A22" s="15"/>
      <c r="B22" s="19"/>
      <c r="C22" s="19"/>
      <c r="D22" s="19"/>
      <c r="E22" s="19"/>
      <c r="F22" s="36" t="s">
        <v>111</v>
      </c>
      <c r="G22" s="33" t="s">
        <v>128</v>
      </c>
      <c r="H22" s="32">
        <v>10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15"/>
      <c r="B23" s="19"/>
      <c r="C23" s="19"/>
      <c r="D23" s="19"/>
      <c r="E23" s="19"/>
      <c r="F23" s="31"/>
      <c r="G23" s="31"/>
      <c r="H23" s="31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3.5">
      <c r="A24" s="15"/>
      <c r="B24" s="19"/>
      <c r="C24" s="19"/>
      <c r="D24" s="19"/>
      <c r="E24" s="19"/>
      <c r="F24" s="31" t="s">
        <v>112</v>
      </c>
      <c r="G24" s="31" t="s">
        <v>113</v>
      </c>
      <c r="H24" s="3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3.5">
      <c r="A25" s="15"/>
      <c r="B25" s="19"/>
      <c r="C25" s="19"/>
      <c r="D25" s="19"/>
      <c r="E25" s="19"/>
      <c r="F25" s="31" t="s">
        <v>114</v>
      </c>
      <c r="G25" s="36" t="s">
        <v>116</v>
      </c>
      <c r="H25" s="3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15"/>
      <c r="B26" s="19"/>
      <c r="C26" s="19"/>
      <c r="D26" s="19"/>
      <c r="E26" s="19"/>
      <c r="F26" s="11"/>
      <c r="G26" s="11"/>
      <c r="H26" s="1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3.5">
      <c r="A27" s="31" t="s">
        <v>12</v>
      </c>
      <c r="B27" s="35">
        <v>1</v>
      </c>
      <c r="C27" s="31" t="s">
        <v>13</v>
      </c>
      <c r="D27" s="22">
        <f>IF(B27&lt;=0,2,B27+3)</f>
        <v>4</v>
      </c>
      <c r="E27" s="19"/>
      <c r="F27" s="19"/>
      <c r="G27" s="19"/>
      <c r="H27" s="20"/>
      <c r="I27" s="3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22" t="s">
        <v>75</v>
      </c>
      <c r="B28" s="22" t="s">
        <v>110</v>
      </c>
      <c r="C28" s="22"/>
      <c r="D28" s="22"/>
      <c r="E28" s="19"/>
      <c r="F28" s="19"/>
      <c r="G28" s="19"/>
      <c r="H28" s="20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2" ht="12.75">
      <c r="A29" s="31"/>
      <c r="B29" s="31" t="s">
        <v>1</v>
      </c>
      <c r="C29" s="31" t="s">
        <v>1</v>
      </c>
      <c r="D29" s="31"/>
      <c r="E29" s="31"/>
      <c r="F29" s="31"/>
      <c r="G29" s="31"/>
      <c r="H29" s="2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2.75">
      <c r="A30" s="31" t="s">
        <v>2</v>
      </c>
      <c r="B30" s="36" t="s">
        <v>37</v>
      </c>
      <c r="C30" s="36" t="s">
        <v>35</v>
      </c>
      <c r="D30" s="36" t="s">
        <v>38</v>
      </c>
      <c r="E30" s="36" t="s">
        <v>42</v>
      </c>
      <c r="F30" s="36" t="s">
        <v>39</v>
      </c>
      <c r="G30" s="36" t="s">
        <v>40</v>
      </c>
      <c r="H30" s="31" t="s">
        <v>41</v>
      </c>
      <c r="I30" s="31" t="s">
        <v>80</v>
      </c>
      <c r="J30" s="31" t="s">
        <v>81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3.5">
      <c r="A31" s="33" t="s">
        <v>36</v>
      </c>
      <c r="B31" s="33" t="s">
        <v>128</v>
      </c>
      <c r="C31" s="33" t="s">
        <v>127</v>
      </c>
      <c r="D31" s="26">
        <f>IF(AND(LEFT(AppDip,1)="N",MID(AppDip,fl+4,1)="E"),VALUE(MID(AppDip,3,fl)),IF(AND(LEFT(AppDip,1)="S",MID(AppDip,fl+4,1)="E"),180-VALUE(MID(AppDip,3,fl)),IF(AND(LEFT(AppDip,1)="S",MID(AppDip,fl+4,1)="W"),180+VALUE(MID(AppDip,3,fl)),IF(AND(LEFT(AppDip,1)="N",MID(AppDip,fl+4,1)="W"),360-VALUE(MID(AppDip,3,fl)),"ERROR"))))</f>
        <v>110</v>
      </c>
      <c r="E31" s="26">
        <v>0</v>
      </c>
      <c r="F31" s="26">
        <f>IF(AND(MID(StrikeAndDip,fl+4,1)="E",RIGHT(StrikeAndDip,1)="E"),270+VALUE(MID(StrikeAndDip,3,fl)),IF(AND(MID(StrikeAndDip,fl+4,1)="E",RIGHT(StrikeAndDip,1)="W"),90+VALUE(MID(StrikeAndDip,3,fl)),IF(AND(MID(StrikeAndDip,fl+4,1)="W",RIGHT(StrikeAndDip,1)="E"),270-VALUE(MID(StrikeAndDip,3,fl)),IF(AND(MID(StrikeAndDip,fl+4,1)="W",RIGHT(StrikeAndDip,1)="W"),90-VALUE(MID(StrikeAndDip,3,fl)),"ERR"))))</f>
        <v>320</v>
      </c>
      <c r="G31" s="26">
        <f>90-VALUE(MID(StrikeAndDip,5+fl,fl))</f>
        <v>50</v>
      </c>
      <c r="H31" s="31">
        <f>IF(AND(AppDipAz&gt;=90,AppDipAz&lt;=360),AppDipAz-90,AppDipAz+90)</f>
        <v>20</v>
      </c>
      <c r="I31" s="31">
        <f>IF(Az_2&gt;=180,Az_2-180,Az_2+180)</f>
        <v>140</v>
      </c>
      <c r="J31" s="31">
        <f>VALUE(MID(StrikeAndDip,5+fl,fl))</f>
        <v>40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2">
      <c r="A32" s="12"/>
      <c r="B32" s="25"/>
      <c r="C32" s="25"/>
      <c r="D32" s="23"/>
      <c r="E32" s="23"/>
      <c r="F32" s="23"/>
      <c r="G32" s="23"/>
      <c r="H32" s="2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2.75">
      <c r="A33" s="36" t="s">
        <v>43</v>
      </c>
      <c r="B33" s="31"/>
      <c r="C33" s="31"/>
      <c r="D33" s="36" t="s">
        <v>44</v>
      </c>
      <c r="E33" s="31"/>
      <c r="F33" s="31"/>
      <c r="G33" s="31" t="s">
        <v>3</v>
      </c>
      <c r="H33" s="31" t="s">
        <v>77</v>
      </c>
      <c r="I33" s="31"/>
      <c r="J33" s="31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2.75">
      <c r="A34" s="31" t="s">
        <v>4</v>
      </c>
      <c r="B34" s="31" t="s">
        <v>5</v>
      </c>
      <c r="C34" s="31" t="s">
        <v>6</v>
      </c>
      <c r="D34" s="31" t="s">
        <v>4</v>
      </c>
      <c r="E34" s="31" t="s">
        <v>5</v>
      </c>
      <c r="F34" s="31" t="s">
        <v>6</v>
      </c>
      <c r="G34" s="31" t="s">
        <v>7</v>
      </c>
      <c r="H34" s="31" t="s">
        <v>4</v>
      </c>
      <c r="I34" s="31" t="s">
        <v>5</v>
      </c>
      <c r="J34" s="31" t="s">
        <v>6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2.75">
      <c r="A35" s="26">
        <f>SIN(RADIANS(Az_1))*SIN(RADIANS(90-Pl_1))</f>
        <v>0.3420201433256687</v>
      </c>
      <c r="B35" s="26">
        <f>COS(RADIANS(Az_1))*SIN(RADIANS(90-Pl_1))</f>
        <v>0.9396926207859084</v>
      </c>
      <c r="C35" s="26">
        <f>COS(RADIANS(90-Pl_1))</f>
        <v>6.1257422745431E-17</v>
      </c>
      <c r="D35" s="26">
        <f>SIN(RADIANS(Az_2))*SIN(RADIANS(90-Pl_2))</f>
        <v>-0.41317591116653496</v>
      </c>
      <c r="E35" s="26">
        <f>COS(RADIANS(Az_2))*SIN(RADIANS(90-Pl_2))</f>
        <v>0.49240387650610384</v>
      </c>
      <c r="F35" s="26">
        <f>COS(RADIANS(90-Pl_2))</f>
        <v>0.766044443118978</v>
      </c>
      <c r="G35" s="26">
        <f>ACOS(X_1*X_2+Y_1*Y_2+Z_1*Z_2)</f>
        <v>1.2435953111117615</v>
      </c>
      <c r="H35" s="31">
        <f>SIN(RADIANS(TrueDipAz))*SIN(RADIANS(90-TrueDipPl))</f>
        <v>0.4924038765061041</v>
      </c>
      <c r="I35" s="31">
        <f>COS(RADIANS(TrueDipAz))*SIN(RADIANS(90-TrueDipPl))</f>
        <v>-0.586824088833465</v>
      </c>
      <c r="J35" s="31">
        <f>COS(RADIANS(90-TrueDipPl))</f>
        <v>0.6427876096865394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2">
      <c r="A36" s="12"/>
      <c r="B36" s="25"/>
      <c r="C36" s="25"/>
      <c r="D36" s="23"/>
      <c r="E36" s="23"/>
      <c r="F36" s="23"/>
      <c r="G36" s="23"/>
      <c r="H36" s="2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17" ht="12.75">
      <c r="A37" s="31" t="s">
        <v>8</v>
      </c>
      <c r="B37" s="31" t="s">
        <v>9</v>
      </c>
      <c r="C37" s="31"/>
      <c r="D37" s="31"/>
      <c r="E37" s="36" t="s">
        <v>78</v>
      </c>
      <c r="F37" s="36" t="s">
        <v>79</v>
      </c>
      <c r="G37" s="31"/>
      <c r="H37" s="31"/>
      <c r="I37" s="27"/>
      <c r="J37" s="5"/>
      <c r="K37" s="5"/>
      <c r="L37" s="5"/>
      <c r="M37" s="5"/>
      <c r="N37" s="5"/>
      <c r="O37" s="5"/>
      <c r="P37" s="5"/>
      <c r="Q37" s="5"/>
    </row>
    <row r="38" spans="1:17" ht="12.75">
      <c r="A38" s="31" t="s">
        <v>10</v>
      </c>
      <c r="B38" s="31" t="s">
        <v>4</v>
      </c>
      <c r="C38" s="31" t="s">
        <v>5</v>
      </c>
      <c r="D38" s="31" t="s">
        <v>6</v>
      </c>
      <c r="E38" s="31" t="s">
        <v>11</v>
      </c>
      <c r="F38" s="36" t="s">
        <v>46</v>
      </c>
      <c r="G38" s="31"/>
      <c r="H38" s="31"/>
      <c r="I38" s="27"/>
      <c r="J38" s="5"/>
      <c r="K38" s="5"/>
      <c r="L38" s="5"/>
      <c r="M38" s="5"/>
      <c r="N38" s="5"/>
      <c r="O38" s="5"/>
      <c r="P38" s="5"/>
      <c r="Q38" s="5"/>
    </row>
    <row r="39" spans="1:17" ht="13.5">
      <c r="A39" s="26">
        <f>(X_1*Y_2-Y_1*X_2)/SIN(Theta_S)</f>
        <v>0.5878588831525551</v>
      </c>
      <c r="B39" s="26">
        <f>IF(LowerFlag&gt;=0,(Y_1*Z_2-Z_1*Y_2)/SIN(Theta_S),-(Y_1*Z_2-Z_1*Y_2)/SIN(Theta_S))</f>
        <v>0.7601770251429709</v>
      </c>
      <c r="C39" s="26">
        <f>IF(LowerFlag&gt;=0,-(X_1*Z_2-Z_1*X_2)/SIN(Theta_S),(X_1*Z_2-Z_1*X_2)/SIN(Theta_S))</f>
        <v>-0.27668180992507185</v>
      </c>
      <c r="D39" s="26">
        <f>IF(LowerFlag&gt;=0,+LowerFlag,-LowerFlag)</f>
        <v>0.5878588831525551</v>
      </c>
      <c r="E39" s="31">
        <f>IF(AND(X_Ans&lt;0,Y_Ans&gt;=0),450-DEGREES(ATAN2(X_Ans,Y_Ans)),90-DEGREES(ATAN2(X_Ans,Y_Ans)))</f>
        <v>110</v>
      </c>
      <c r="F39" s="34">
        <f>90-DEGREES(ACOS(Z_Ans))</f>
        <v>36.00521481878654</v>
      </c>
      <c r="G39" s="34"/>
      <c r="H39" s="34"/>
      <c r="I39" s="28"/>
      <c r="J39" s="5"/>
      <c r="K39" s="5"/>
      <c r="L39" s="5"/>
      <c r="M39" s="5"/>
      <c r="N39" s="5"/>
      <c r="O39" s="5"/>
      <c r="P39" s="5"/>
      <c r="Q39" s="5"/>
    </row>
    <row r="40" spans="1:8" ht="12">
      <c r="A40" s="12"/>
      <c r="B40" s="12"/>
      <c r="C40" s="12"/>
      <c r="D40" s="12"/>
      <c r="E40" s="12"/>
      <c r="F40" s="12"/>
      <c r="G40" s="12"/>
      <c r="H40" s="12"/>
    </row>
    <row r="41" spans="1:8" ht="12.75">
      <c r="A41" s="31"/>
      <c r="B41" s="12"/>
      <c r="C41" s="12"/>
      <c r="D41" s="24"/>
      <c r="E41" s="12"/>
      <c r="F41" s="12"/>
      <c r="G41" s="12"/>
      <c r="H41" s="12"/>
    </row>
    <row r="42" spans="1:8" ht="12.75">
      <c r="A42" s="31"/>
      <c r="B42" s="12"/>
      <c r="C42" s="12"/>
      <c r="D42" s="12"/>
      <c r="E42" s="12"/>
      <c r="F42" s="12"/>
      <c r="G42" s="12"/>
      <c r="H42" s="12"/>
    </row>
    <row r="43" spans="1:8" ht="13.5">
      <c r="A43" s="34"/>
      <c r="B43" s="12"/>
      <c r="C43" s="12"/>
      <c r="D43" s="12"/>
      <c r="E43" s="12"/>
      <c r="F43" s="12"/>
      <c r="G43" s="12"/>
      <c r="H43" s="12"/>
    </row>
  </sheetData>
  <sheetProtection/>
  <printOptions gridLines="1"/>
  <pageMargins left="1" right="1" top="1" bottom="1" header="0.5" footer="0.5"/>
  <pageSetup fitToHeight="1" fitToWidth="1" horizontalDpi="300" verticalDpi="300" orientation="landscape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C45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9.625" style="0" customWidth="1"/>
    <col min="3" max="3" width="76.75390625" style="0" customWidth="1"/>
  </cols>
  <sheetData>
    <row r="2" ht="18">
      <c r="B2" s="30" t="s">
        <v>15</v>
      </c>
    </row>
    <row r="3" ht="12.75">
      <c r="B3" s="8" t="s">
        <v>64</v>
      </c>
    </row>
    <row r="4" ht="12.75">
      <c r="B4" s="6" t="s">
        <v>16</v>
      </c>
    </row>
    <row r="5" ht="12.75">
      <c r="B5" s="6" t="s">
        <v>17</v>
      </c>
    </row>
    <row r="7" spans="2:3" ht="12.75">
      <c r="B7" s="7" t="s">
        <v>18</v>
      </c>
      <c r="C7" s="7" t="s">
        <v>19</v>
      </c>
    </row>
    <row r="8" spans="2:3" ht="12.75">
      <c r="B8" s="7" t="s">
        <v>102</v>
      </c>
      <c r="C8" s="7" t="s">
        <v>103</v>
      </c>
    </row>
    <row r="9" spans="2:3" ht="13.5">
      <c r="B9" s="34" t="s">
        <v>104</v>
      </c>
      <c r="C9" s="7" t="s">
        <v>105</v>
      </c>
    </row>
    <row r="10" spans="2:3" ht="12.75">
      <c r="B10" s="10" t="s">
        <v>47</v>
      </c>
      <c r="C10" s="7" t="s">
        <v>48</v>
      </c>
    </row>
    <row r="11" spans="2:3" ht="12.75">
      <c r="B11" s="41" t="s">
        <v>117</v>
      </c>
      <c r="C11" s="7" t="s">
        <v>118</v>
      </c>
    </row>
    <row r="12" spans="2:3" ht="12.75">
      <c r="B12" s="41" t="s">
        <v>119</v>
      </c>
      <c r="C12" s="7" t="s">
        <v>120</v>
      </c>
    </row>
    <row r="13" spans="2:3" ht="12.75">
      <c r="B13" s="10" t="s">
        <v>49</v>
      </c>
      <c r="C13" s="7" t="s">
        <v>50</v>
      </c>
    </row>
    <row r="14" spans="2:3" ht="12.75">
      <c r="B14" s="7" t="s">
        <v>51</v>
      </c>
      <c r="C14" s="7" t="s">
        <v>56</v>
      </c>
    </row>
    <row r="15" spans="2:3" ht="12.75">
      <c r="B15" s="7" t="s">
        <v>20</v>
      </c>
      <c r="C15" s="7" t="s">
        <v>55</v>
      </c>
    </row>
    <row r="16" spans="2:3" ht="12.75">
      <c r="B16" s="9" t="s">
        <v>21</v>
      </c>
      <c r="C16" s="7" t="s">
        <v>52</v>
      </c>
    </row>
    <row r="17" spans="2:3" ht="12.75">
      <c r="B17" s="9" t="s">
        <v>22</v>
      </c>
      <c r="C17" s="9" t="s">
        <v>23</v>
      </c>
    </row>
    <row r="18" spans="2:3" ht="12.75">
      <c r="B18" s="9" t="s">
        <v>24</v>
      </c>
      <c r="C18" s="9" t="s">
        <v>25</v>
      </c>
    </row>
    <row r="19" spans="2:3" ht="12.75">
      <c r="B19" s="10" t="s">
        <v>26</v>
      </c>
      <c r="C19" s="9" t="s">
        <v>27</v>
      </c>
    </row>
    <row r="20" spans="2:3" ht="12.75">
      <c r="B20" s="9" t="s">
        <v>28</v>
      </c>
      <c r="C20" s="9" t="s">
        <v>54</v>
      </c>
    </row>
    <row r="21" spans="2:3" ht="12.75">
      <c r="B21" s="9" t="s">
        <v>29</v>
      </c>
      <c r="C21" s="9" t="s">
        <v>53</v>
      </c>
    </row>
    <row r="22" spans="2:3" ht="12.75">
      <c r="B22" s="7" t="s">
        <v>108</v>
      </c>
      <c r="C22" s="7" t="s">
        <v>109</v>
      </c>
    </row>
    <row r="23" spans="2:3" ht="12.75">
      <c r="B23" s="9" t="s">
        <v>30</v>
      </c>
      <c r="C23" s="9" t="s">
        <v>34</v>
      </c>
    </row>
    <row r="24" spans="2:3" ht="12.75">
      <c r="B24" s="7" t="s">
        <v>91</v>
      </c>
      <c r="C24" s="7" t="s">
        <v>92</v>
      </c>
    </row>
    <row r="25" spans="2:3" ht="12.75">
      <c r="B25" s="7" t="s">
        <v>93</v>
      </c>
      <c r="C25" s="7" t="s">
        <v>94</v>
      </c>
    </row>
    <row r="26" spans="2:3" ht="12.75">
      <c r="B26" s="9" t="s">
        <v>31</v>
      </c>
      <c r="C26" s="7" t="s">
        <v>95</v>
      </c>
    </row>
    <row r="27" spans="2:3" ht="12.75">
      <c r="B27" s="9" t="s">
        <v>32</v>
      </c>
      <c r="C27" s="9" t="s">
        <v>96</v>
      </c>
    </row>
    <row r="28" spans="2:3" ht="12.75">
      <c r="B28" s="9" t="s">
        <v>97</v>
      </c>
      <c r="C28" s="7" t="s">
        <v>98</v>
      </c>
    </row>
    <row r="29" spans="2:3" ht="12.75">
      <c r="B29" s="9" t="s">
        <v>100</v>
      </c>
      <c r="C29" s="7" t="s">
        <v>99</v>
      </c>
    </row>
    <row r="30" spans="2:3" ht="12.75">
      <c r="B30" s="7" t="s">
        <v>33</v>
      </c>
      <c r="C30" s="7" t="s">
        <v>101</v>
      </c>
    </row>
    <row r="31" spans="2:3" ht="13.5" customHeight="1">
      <c r="B31" s="36" t="s">
        <v>106</v>
      </c>
      <c r="C31" s="7" t="s">
        <v>107</v>
      </c>
    </row>
    <row r="32" ht="12.75">
      <c r="B32" s="6"/>
    </row>
    <row r="33" ht="15">
      <c r="B33" s="14" t="s">
        <v>0</v>
      </c>
    </row>
    <row r="34" ht="12.75">
      <c r="B34" s="15" t="s">
        <v>57</v>
      </c>
    </row>
    <row r="35" ht="12.75">
      <c r="B35" s="15" t="s">
        <v>123</v>
      </c>
    </row>
    <row r="36" ht="12.75">
      <c r="B36" s="15" t="s">
        <v>58</v>
      </c>
    </row>
    <row r="37" ht="12.75">
      <c r="B37" s="15" t="s">
        <v>59</v>
      </c>
    </row>
    <row r="38" ht="12.75">
      <c r="B38" s="15" t="s">
        <v>65</v>
      </c>
    </row>
    <row r="39" ht="12.75">
      <c r="B39" s="16" t="s">
        <v>124</v>
      </c>
    </row>
    <row r="40" ht="12.75">
      <c r="B40" s="16" t="s">
        <v>126</v>
      </c>
    </row>
    <row r="41" ht="15">
      <c r="B41" s="21" t="s">
        <v>14</v>
      </c>
    </row>
    <row r="42" ht="12.75">
      <c r="B42" s="15" t="s">
        <v>60</v>
      </c>
    </row>
    <row r="43" ht="12.75">
      <c r="B43" s="15" t="s">
        <v>61</v>
      </c>
    </row>
    <row r="44" ht="12.75">
      <c r="B44" s="15" t="s">
        <v>62</v>
      </c>
    </row>
    <row r="45" ht="12.75">
      <c r="B45" s="15" t="s">
        <v>63</v>
      </c>
    </row>
  </sheetData>
  <sheetProtection/>
  <printOptions gridLines="1"/>
  <pageMargins left="0.75" right="0.75" top="1" bottom="1" header="0.5" footer="0.5"/>
  <pageSetup fitToHeight="1" fitToWidth="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Q19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.00390625" style="0" customWidth="1"/>
    <col min="2" max="2" width="17.125" style="0" customWidth="1"/>
    <col min="3" max="3" width="16.25390625" style="0" customWidth="1"/>
    <col min="4" max="4" width="9.75390625" style="0" customWidth="1"/>
    <col min="5" max="5" width="10.625" style="0" customWidth="1"/>
    <col min="6" max="6" width="12.625" style="0" customWidth="1"/>
    <col min="7" max="7" width="9.25390625" style="0" customWidth="1"/>
    <col min="8" max="8" width="10.625" style="0" customWidth="1"/>
    <col min="9" max="9" width="11.875" style="0" bestFit="1" customWidth="1"/>
    <col min="10" max="10" width="12.50390625" style="0" customWidth="1"/>
    <col min="11" max="11" width="10.625" style="0" customWidth="1"/>
    <col min="12" max="12" width="9.625" style="0" customWidth="1"/>
    <col min="13" max="13" width="10.125" style="0" customWidth="1"/>
    <col min="15" max="15" width="10.50390625" style="0" customWidth="1"/>
    <col min="16" max="16" width="9.75390625" style="0" customWidth="1"/>
    <col min="17" max="17" width="7.625" style="0" customWidth="1"/>
    <col min="18" max="18" width="10.375" style="0" customWidth="1"/>
    <col min="19" max="19" width="10.125" style="0" customWidth="1"/>
    <col min="20" max="20" width="18.875" style="0" customWidth="1"/>
  </cols>
  <sheetData>
    <row r="2" spans="2:12" ht="12.75">
      <c r="B2" s="7" t="s">
        <v>66</v>
      </c>
      <c r="C2" s="37">
        <v>0</v>
      </c>
      <c r="D2" s="7" t="s">
        <v>67</v>
      </c>
      <c r="E2" s="37">
        <v>0</v>
      </c>
      <c r="H2" s="36" t="s">
        <v>90</v>
      </c>
      <c r="I2" s="31"/>
      <c r="J2" s="31"/>
      <c r="K2" s="31"/>
      <c r="L2" s="31"/>
    </row>
    <row r="3" spans="2:12" ht="12.75">
      <c r="B3" s="7" t="s">
        <v>68</v>
      </c>
      <c r="C3" s="37">
        <v>3.75</v>
      </c>
      <c r="D3" s="7"/>
      <c r="E3" s="7"/>
      <c r="H3" s="31" t="s">
        <v>83</v>
      </c>
      <c r="I3" s="31" t="s">
        <v>84</v>
      </c>
      <c r="J3" s="31" t="s">
        <v>4</v>
      </c>
      <c r="K3" s="31" t="s">
        <v>5</v>
      </c>
      <c r="L3" s="31" t="s">
        <v>6</v>
      </c>
    </row>
    <row r="4" spans="4:12" ht="12.75">
      <c r="D4" s="31" t="s">
        <v>69</v>
      </c>
      <c r="H4" s="31">
        <f>IF(Az_2&gt;=90,Az_2-90,Az_2+90)</f>
        <v>230</v>
      </c>
      <c r="I4" s="31">
        <v>0</v>
      </c>
      <c r="J4" s="31">
        <f>SIN(RADIANS(H4))*SIN(RADIANS(90-I4))</f>
        <v>-0.7660444431189779</v>
      </c>
      <c r="K4" s="31">
        <f>COS(RADIANS(H4))*SIN(RADIANS(90-I4))</f>
        <v>-0.6427876096865395</v>
      </c>
      <c r="L4" s="31">
        <f>COS(RADIANS(90-I4))</f>
        <v>6.1257422745431E-17</v>
      </c>
    </row>
    <row r="5" spans="2:17" ht="12.75">
      <c r="B5" s="7" t="s">
        <v>46</v>
      </c>
      <c r="C5" s="7" t="s">
        <v>70</v>
      </c>
      <c r="D5" s="7" t="s">
        <v>71</v>
      </c>
      <c r="E5" s="7" t="s">
        <v>72</v>
      </c>
      <c r="F5" s="7" t="s">
        <v>73</v>
      </c>
      <c r="H5" s="39" t="s">
        <v>85</v>
      </c>
      <c r="I5" s="39" t="s">
        <v>86</v>
      </c>
      <c r="J5" s="39" t="s">
        <v>87</v>
      </c>
      <c r="K5" s="39" t="s">
        <v>4</v>
      </c>
      <c r="L5" s="39" t="s">
        <v>5</v>
      </c>
      <c r="M5" s="39" t="s">
        <v>6</v>
      </c>
      <c r="N5" s="31" t="s">
        <v>88</v>
      </c>
      <c r="O5" s="31" t="s">
        <v>89</v>
      </c>
      <c r="P5" s="31" t="s">
        <v>71</v>
      </c>
      <c r="Q5" s="31" t="s">
        <v>72</v>
      </c>
    </row>
    <row r="6" spans="2:17" ht="12.75">
      <c r="B6" s="31">
        <v>0</v>
      </c>
      <c r="C6" s="31"/>
      <c r="D6" s="31">
        <f>+Xcenter+Radius*COS(RADIANS(B6))</f>
        <v>3.75</v>
      </c>
      <c r="E6" s="31">
        <f>+Ycenter+Radius*SIN(RADIANS(B6))</f>
        <v>0</v>
      </c>
      <c r="F6" s="7" t="s">
        <v>74</v>
      </c>
      <c r="H6" s="40">
        <v>0</v>
      </c>
      <c r="I6" s="31">
        <f>(X_2*X_S+Y_2*Y_S+Z_2*Z_S)*(1-COS(RADIANS(RotAng)))</f>
        <v>0</v>
      </c>
      <c r="J6" s="31">
        <f>SIGN(COS(RADIANS(RotAng))*Z_S+t_dot*Z_2+(SIN(RADIANS(RotAng))*(X_2*Y_S-Y_2*X_S)))</f>
        <v>1</v>
      </c>
      <c r="K6" s="31">
        <f>(COS(RADIANS(RotAng))*X_S+t_dot*X_2+(SIN(RADIANS(RotAng))*(Y_2*Z_S-Z_2*Y_S)))*flag</f>
        <v>-0.7660444431189779</v>
      </c>
      <c r="L6" s="31">
        <f>(COS(RADIANS(RotAng))*Y_S+t_dot*Y_2-(SIN(RADIANS(RotAng))*(X_2*Z_S-Z_2*X_S)))*flag</f>
        <v>-0.6427876096865395</v>
      </c>
      <c r="M6" s="31">
        <f>(COS(RADIANS(RotAng))*Z_S+t_dot*Z_2+(SIN(RADIANS(RotAng))*(X_2*Y_S-Y_2*X_S)))*flag</f>
        <v>6.1257422745431E-17</v>
      </c>
      <c r="N6" s="31">
        <f>IF(AND(K6&lt;0,L6&gt;=0),450-DEGREES(ATAN2(K6,L6)),90-DEGREES(ATAN2(K6,L6)))</f>
        <v>230</v>
      </c>
      <c r="O6" s="31">
        <f>IF(UPPER(Projection)="EQUAL AREA",SQRT(2)*(SIN(ACOS(ABS(M6))/2))*Radius,TAN(ACOS(ABS(M6))/2)*Radius)</f>
        <v>3.75</v>
      </c>
      <c r="P6" s="31">
        <f>+Xcenter+SIN(RADIANS(N6))*O6</f>
        <v>-2.872666661696167</v>
      </c>
      <c r="Q6" s="31">
        <f>Ycenter+COS(RADIANS(N6))*O6</f>
        <v>-2.410453536324523</v>
      </c>
    </row>
    <row r="7" spans="2:17" ht="12.75">
      <c r="B7" s="31">
        <v>2</v>
      </c>
      <c r="C7" s="31"/>
      <c r="D7" s="31">
        <f aca="true" t="shared" si="0" ref="D7:D70">+Xcenter+Radius*COS(RADIANS(B7))</f>
        <v>3.7477156013216093</v>
      </c>
      <c r="E7" s="31">
        <f aca="true" t="shared" si="1" ref="E7:E70">+Ycenter+Radius*SIN(RADIANS(B7))</f>
        <v>0.13087311263437865</v>
      </c>
      <c r="F7" s="7" t="s">
        <v>74</v>
      </c>
      <c r="H7" s="40">
        <v>1</v>
      </c>
      <c r="I7" s="31">
        <f aca="true" t="shared" si="2" ref="I7:I37">(X_2*X_S+Y_2*Y_S+Z_2*Z_S)*(1-COS(RADIANS(H7)))</f>
        <v>1.5601660330721564E-20</v>
      </c>
      <c r="J7" s="31">
        <f>SIGN(COS(RADIANS(H7))*Z_S+I7*Z_2+(SIN(RADIANS(H7))*(X_2*Y_S-Y_2*X_S)))</f>
        <v>1</v>
      </c>
      <c r="K7" s="31">
        <f>(COS(RADIANS(H7))*X_S+I7*X_2+(SIN(RADIANS(H7))*(Y_2*Z_S-Z_2*Y_S)))*J7</f>
        <v>-0.7573341382557928</v>
      </c>
      <c r="L7" s="31">
        <f>(COS(RADIANS(H7))*Y_S+I7*Y_2-(SIN(RADIANS(H7))*(X_2*Z_S-Z_2*X_S)))*J7</f>
        <v>-0.6529312025256827</v>
      </c>
      <c r="M7" s="31">
        <f>(COS(RADIANS(H7))*Z_S+I7*Z_2+(SIN(RADIANS(H7))*(X_2*Y_S-Y_2*X_S)))*J7</f>
        <v>0.0112181906170995</v>
      </c>
      <c r="N7" s="31">
        <f>IF(AND(K7&lt;0,L7&gt;=0),450-DEGREES(ATAN2(K7,L7)),90-DEGREES(ATAN2(K7,L7)))</f>
        <v>229.23392341814613</v>
      </c>
      <c r="O7" s="31">
        <f>IF(UPPER(Projection)="EQUAL AREA",SQRT(2)*(SIN(ACOS(ABS(M7))/2))*Radius,TAN(ACOS(ABS(M7))/2)*Radius)</f>
        <v>3.728906568210987</v>
      </c>
      <c r="P7" s="31">
        <f>+Xcenter+SIN(RADIANS(N7))*O7</f>
        <v>-2.8242059581181977</v>
      </c>
      <c r="Q7" s="31">
        <f>Ycenter+COS(RADIANS(N7))*O7</f>
        <v>-2.434872666193596</v>
      </c>
    </row>
    <row r="8" spans="2:17" ht="12.75">
      <c r="B8" s="31">
        <v>4</v>
      </c>
      <c r="C8" s="31"/>
      <c r="D8" s="31">
        <f t="shared" si="0"/>
        <v>3.740865188474341</v>
      </c>
      <c r="E8" s="31">
        <f t="shared" si="1"/>
        <v>0.2615867765404699</v>
      </c>
      <c r="F8" s="7" t="s">
        <v>74</v>
      </c>
      <c r="H8" s="40">
        <v>2</v>
      </c>
      <c r="I8" s="31">
        <f t="shared" si="2"/>
        <v>6.240188890602201E-20</v>
      </c>
      <c r="J8" s="31">
        <f aca="true" t="shared" si="3" ref="J8:J37">SIGN(COS(RADIANS(H8))*Z_S+I8*Z_2+(SIN(RADIANS(H8))*(X_2*Y_S-Y_2*X_S)))</f>
        <v>1</v>
      </c>
      <c r="K8" s="31">
        <f aca="true" t="shared" si="4" ref="K8:K37">(COS(RADIANS(H8))*X_S+I8*X_2+(SIN(RADIANS(H8))*(Y_2*Z_S-Z_2*Y_S)))*J8</f>
        <v>-0.7483931420776345</v>
      </c>
      <c r="L8" s="31">
        <f aca="true" t="shared" si="5" ref="L8:L37">(COS(RADIANS(H8))*Y_S+I8*Y_2-(SIN(RADIANS(H8))*(X_2*Z_S-Z_2*X_S)))*J8</f>
        <v>-0.6628759061954501</v>
      </c>
      <c r="M8" s="31">
        <f aca="true" t="shared" si="6" ref="M8:M37">(COS(RADIANS(H8))*Z_S+I8*Z_2+(SIN(RADIANS(H8))*(X_2*Y_S-Y_2*X_S)))*J8</f>
        <v>0.02243296406466392</v>
      </c>
      <c r="N8" s="31">
        <f>IF(AND(K8&lt;0,L8&gt;=0),450-DEGREES(ATAN2(K8,L8)),90-DEGREES(ATAN2(K8,L8)))</f>
        <v>228.4676539926365</v>
      </c>
      <c r="O8" s="31">
        <f aca="true" t="shared" si="7" ref="O8:O39">IF(UPPER(Projection)="EQUAL AREA",SQRT(2)*(SIN(ACOS(ABS(M8))/2))*Radius,TAN(ACOS(ABS(M8))/2)*Radius)</f>
        <v>3.707699616047754</v>
      </c>
      <c r="P8" s="31">
        <f aca="true" t="shared" si="8" ref="P8:P39">+Xcenter+SIN(RADIANS(N8))*O8</f>
        <v>-2.7755154256627903</v>
      </c>
      <c r="Q8" s="31">
        <f aca="true" t="shared" si="9" ref="Q8:Q39">Ycenter+COS(RADIANS(N8))*O8</f>
        <v>-2.458363391516511</v>
      </c>
    </row>
    <row r="9" spans="2:17" ht="12.75">
      <c r="B9" s="31">
        <v>6</v>
      </c>
      <c r="C9" s="31"/>
      <c r="D9" s="31">
        <f t="shared" si="0"/>
        <v>3.729457107631025</v>
      </c>
      <c r="E9" s="31">
        <f t="shared" si="1"/>
        <v>0.3919817372537005</v>
      </c>
      <c r="F9" s="7" t="s">
        <v>74</v>
      </c>
      <c r="H9" s="40">
        <v>3</v>
      </c>
      <c r="I9" s="31">
        <f t="shared" si="2"/>
        <v>1.4038642992291798E-19</v>
      </c>
      <c r="J9" s="31">
        <f t="shared" si="3"/>
        <v>1</v>
      </c>
      <c r="K9" s="31">
        <f t="shared" si="4"/>
        <v>-0.7392241780985521</v>
      </c>
      <c r="L9" s="31">
        <f t="shared" si="5"/>
        <v>-0.6726186914427672</v>
      </c>
      <c r="M9" s="31">
        <f t="shared" si="6"/>
        <v>0.03364090421406124</v>
      </c>
      <c r="N9" s="31">
        <f aca="true" t="shared" si="10" ref="N9:N72">IF(AND(K9&lt;0,L9&gt;=0),450-DEGREES(ATAN2(K9,L9)),90-DEGREES(ATAN2(K9,L9)))</f>
        <v>227.7009988236662</v>
      </c>
      <c r="O9" s="31">
        <f t="shared" si="7"/>
        <v>3.686383700117198</v>
      </c>
      <c r="P9" s="31">
        <f t="shared" si="8"/>
        <v>-2.726607262588743</v>
      </c>
      <c r="Q9" s="31">
        <f t="shared" si="9"/>
        <v>-2.480934827859871</v>
      </c>
    </row>
    <row r="10" spans="2:17" ht="12.75">
      <c r="B10" s="31">
        <v>8</v>
      </c>
      <c r="C10" s="31"/>
      <c r="D10" s="31">
        <f t="shared" si="0"/>
        <v>3.7135052577808887</v>
      </c>
      <c r="E10" s="31">
        <f t="shared" si="1"/>
        <v>0.5218991286002453</v>
      </c>
      <c r="F10" s="7" t="s">
        <v>74</v>
      </c>
      <c r="H10" s="40">
        <v>4</v>
      </c>
      <c r="I10" s="31">
        <f t="shared" si="2"/>
        <v>2.4953152853474844E-19</v>
      </c>
      <c r="J10" s="31">
        <f t="shared" si="3"/>
        <v>1</v>
      </c>
      <c r="K10" s="31">
        <f t="shared" si="4"/>
        <v>-0.7298300392737955</v>
      </c>
      <c r="L10" s="31">
        <f t="shared" si="5"/>
        <v>-0.6821565905208672</v>
      </c>
      <c r="M10" s="31">
        <f t="shared" si="6"/>
        <v>0.0448385970181482</v>
      </c>
      <c r="N10" s="31">
        <f t="shared" si="10"/>
        <v>226.93376489952126</v>
      </c>
      <c r="O10" s="31">
        <f t="shared" si="7"/>
        <v>3.664963469044718</v>
      </c>
      <c r="P10" s="31">
        <f t="shared" si="8"/>
        <v>-2.6774933366372524</v>
      </c>
      <c r="Q10" s="31">
        <f t="shared" si="9"/>
        <v>-2.502595984511964</v>
      </c>
    </row>
    <row r="11" spans="2:17" ht="12.75">
      <c r="B11" s="31">
        <v>10</v>
      </c>
      <c r="C11" s="31"/>
      <c r="D11" s="31">
        <f t="shared" si="0"/>
        <v>3.6930290737957803</v>
      </c>
      <c r="E11" s="31">
        <f t="shared" si="1"/>
        <v>0.6511806662509887</v>
      </c>
      <c r="F11" s="7" t="s">
        <v>74</v>
      </c>
      <c r="H11" s="40">
        <v>5</v>
      </c>
      <c r="I11" s="31">
        <f t="shared" si="2"/>
        <v>3.8980393808716297E-19</v>
      </c>
      <c r="J11" s="31">
        <f t="shared" si="3"/>
        <v>1</v>
      </c>
      <c r="K11" s="31">
        <f t="shared" si="4"/>
        <v>-0.7202135871490539</v>
      </c>
      <c r="L11" s="31">
        <f t="shared" si="5"/>
        <v>-0.6914866980932953</v>
      </c>
      <c r="M11" s="31">
        <f t="shared" si="6"/>
        <v>0.05602263155122218</v>
      </c>
      <c r="N11" s="31">
        <f t="shared" si="10"/>
        <v>226.16575904159993</v>
      </c>
      <c r="O11" s="31">
        <f t="shared" si="7"/>
        <v>3.6434436655190567</v>
      </c>
      <c r="P11" s="31">
        <f t="shared" si="8"/>
        <v>-2.6281851990328167</v>
      </c>
      <c r="Q11" s="31">
        <f t="shared" si="9"/>
        <v>-2.5233557623521445</v>
      </c>
    </row>
    <row r="12" spans="2:17" ht="12.75">
      <c r="B12" s="31">
        <v>12</v>
      </c>
      <c r="C12" s="31"/>
      <c r="D12" s="31">
        <f t="shared" si="0"/>
        <v>3.6680535027517713</v>
      </c>
      <c r="E12" s="31">
        <f t="shared" si="1"/>
        <v>0.7796688405665976</v>
      </c>
      <c r="F12" s="7" t="s">
        <v>74</v>
      </c>
      <c r="H12" s="40">
        <v>6</v>
      </c>
      <c r="I12" s="31">
        <f t="shared" si="2"/>
        <v>5.611609302453826E-19</v>
      </c>
      <c r="J12" s="31">
        <f t="shared" si="3"/>
        <v>1</v>
      </c>
      <c r="K12" s="31">
        <f t="shared" si="4"/>
        <v>-0.7103777509888008</v>
      </c>
      <c r="L12" s="31">
        <f t="shared" si="5"/>
        <v>-0.7006061721189021</v>
      </c>
      <c r="M12" s="31">
        <f t="shared" si="6"/>
        <v>0.06718960104802225</v>
      </c>
      <c r="N12" s="31">
        <f t="shared" si="10"/>
        <v>225.39678785061054</v>
      </c>
      <c r="O12" s="31">
        <f t="shared" si="7"/>
        <v>3.6218291283910937</v>
      </c>
      <c r="P12" s="31">
        <f t="shared" si="8"/>
        <v>-2.5786940979482167</v>
      </c>
      <c r="Q12" s="31">
        <f t="shared" si="9"/>
        <v>-2.543222952174902</v>
      </c>
    </row>
    <row r="13" spans="2:17" ht="12.75">
      <c r="B13" s="31">
        <v>14</v>
      </c>
      <c r="C13" s="31"/>
      <c r="D13" s="31">
        <f t="shared" si="0"/>
        <v>3.638608973534987</v>
      </c>
      <c r="E13" s="31">
        <f t="shared" si="1"/>
        <v>0.907207108498754</v>
      </c>
      <c r="F13" s="7" t="s">
        <v>74</v>
      </c>
      <c r="H13" s="40">
        <v>7</v>
      </c>
      <c r="I13" s="31">
        <f t="shared" si="2"/>
        <v>7.635503080096051E-19</v>
      </c>
      <c r="J13" s="31">
        <f t="shared" si="3"/>
        <v>1</v>
      </c>
      <c r="K13" s="31">
        <f t="shared" si="4"/>
        <v>-0.7003255268840128</v>
      </c>
      <c r="L13" s="31">
        <f t="shared" si="5"/>
        <v>-0.7095122347175573</v>
      </c>
      <c r="M13" s="31">
        <f t="shared" si="6"/>
        <v>0.07833610394146281</v>
      </c>
      <c r="N13" s="31">
        <f t="shared" si="10"/>
        <v>224.62665765434983</v>
      </c>
      <c r="O13" s="31">
        <f t="shared" si="7"/>
        <v>3.6001247948263098</v>
      </c>
      <c r="P13" s="31">
        <f t="shared" si="8"/>
        <v>-2.5290309914472364</v>
      </c>
      <c r="Q13" s="31">
        <f t="shared" si="9"/>
        <v>-2.5622062334290323</v>
      </c>
    </row>
    <row r="14" spans="2:17" ht="12.75">
      <c r="B14" s="31">
        <v>16</v>
      </c>
      <c r="C14" s="31"/>
      <c r="D14" s="31">
        <f t="shared" si="0"/>
        <v>3.604731359768696</v>
      </c>
      <c r="E14" s="31">
        <f t="shared" si="1"/>
        <v>1.0336400843137468</v>
      </c>
      <c r="F14" s="7" t="s">
        <v>74</v>
      </c>
      <c r="H14" s="40">
        <v>8</v>
      </c>
      <c r="I14" s="31">
        <f t="shared" si="2"/>
        <v>9.969104216147687E-19</v>
      </c>
      <c r="J14" s="31">
        <f t="shared" si="3"/>
        <v>1</v>
      </c>
      <c r="K14" s="31">
        <f t="shared" si="4"/>
        <v>-0.6900599768395304</v>
      </c>
      <c r="L14" s="31">
        <f t="shared" si="5"/>
        <v>-0.7182021730163181</v>
      </c>
      <c r="M14" s="31">
        <f t="shared" si="6"/>
        <v>0.08945874489878392</v>
      </c>
      <c r="N14" s="31">
        <f t="shared" si="10"/>
        <v>223.85517445747325</v>
      </c>
      <c r="O14" s="31">
        <f t="shared" si="7"/>
        <v>3.578335702510435</v>
      </c>
      <c r="P14" s="31">
        <f t="shared" si="8"/>
        <v>-2.479206559919281</v>
      </c>
      <c r="Q14" s="31">
        <f t="shared" si="9"/>
        <v>-2.5803141733351103</v>
      </c>
    </row>
    <row r="15" spans="2:17" ht="12.75">
      <c r="B15" s="31">
        <v>18</v>
      </c>
      <c r="C15" s="31"/>
      <c r="D15" s="31">
        <f t="shared" si="0"/>
        <v>3.5664619361068257</v>
      </c>
      <c r="E15" s="31">
        <f t="shared" si="1"/>
        <v>1.1588137289060527</v>
      </c>
      <c r="F15" s="7" t="s">
        <v>74</v>
      </c>
      <c r="H15" s="40">
        <v>9</v>
      </c>
      <c r="I15" s="31">
        <f t="shared" si="2"/>
        <v>1.26117018730968E-18</v>
      </c>
      <c r="J15" s="31">
        <f t="shared" si="3"/>
        <v>1</v>
      </c>
      <c r="K15" s="31">
        <f t="shared" si="4"/>
        <v>-0.6795842278413414</v>
      </c>
      <c r="L15" s="31">
        <f t="shared" si="5"/>
        <v>-0.7266733399757973</v>
      </c>
      <c r="M15" s="31">
        <f t="shared" si="6"/>
        <v>0.10055413585580254</v>
      </c>
      <c r="N15" s="31">
        <f t="shared" si="10"/>
        <v>223.08214389368067</v>
      </c>
      <c r="O15" s="31">
        <f t="shared" si="7"/>
        <v>3.5564669919075276</v>
      </c>
      <c r="P15" s="31">
        <f t="shared" si="8"/>
        <v>-2.429231218020361</v>
      </c>
      <c r="Q15" s="31">
        <f t="shared" si="9"/>
        <v>-2.597555226347092</v>
      </c>
    </row>
    <row r="16" spans="2:17" ht="12.75">
      <c r="B16" s="31">
        <v>20</v>
      </c>
      <c r="C16" s="31"/>
      <c r="D16" s="31">
        <f t="shared" si="0"/>
        <v>3.5238473279471565</v>
      </c>
      <c r="E16" s="31">
        <f t="shared" si="1"/>
        <v>1.2825755374712577</v>
      </c>
      <c r="F16" s="7" t="s">
        <v>74</v>
      </c>
      <c r="H16" s="40">
        <v>10</v>
      </c>
      <c r="I16" s="31">
        <f t="shared" si="2"/>
        <v>1.5562491090097647E-18</v>
      </c>
      <c r="J16" s="31">
        <f t="shared" si="3"/>
        <v>1</v>
      </c>
      <c r="K16" s="31">
        <f t="shared" si="4"/>
        <v>-0.6689014709040716</v>
      </c>
      <c r="L16" s="31">
        <f t="shared" si="5"/>
        <v>-0.7349231551964772</v>
      </c>
      <c r="M16" s="31">
        <f t="shared" si="6"/>
        <v>0.11161889704894969</v>
      </c>
      <c r="N16" s="31">
        <f t="shared" si="10"/>
        <v>222.30737118075493</v>
      </c>
      <c r="O16" s="31">
        <f t="shared" si="7"/>
        <v>3.5345239085694615</v>
      </c>
      <c r="P16" s="31">
        <f t="shared" si="8"/>
        <v>-2.379115126135216</v>
      </c>
      <c r="Q16" s="31">
        <f t="shared" si="9"/>
        <v>-2.6139377339262997</v>
      </c>
    </row>
    <row r="17" spans="2:17" ht="12.75">
      <c r="B17" s="31">
        <v>22</v>
      </c>
      <c r="C17" s="31"/>
      <c r="D17" s="31">
        <f t="shared" si="0"/>
        <v>3.4769394546254526</v>
      </c>
      <c r="E17" s="31">
        <f t="shared" si="1"/>
        <v>1.40477472530967</v>
      </c>
      <c r="F17" s="7" t="s">
        <v>74</v>
      </c>
      <c r="H17" s="40">
        <v>11</v>
      </c>
      <c r="I17" s="31">
        <f t="shared" si="2"/>
        <v>1.8820573028169557E-18</v>
      </c>
      <c r="J17" s="31">
        <f t="shared" si="3"/>
        <v>1</v>
      </c>
      <c r="K17" s="31">
        <f t="shared" si="4"/>
        <v>-0.6580149600989705</v>
      </c>
      <c r="L17" s="31">
        <f t="shared" si="5"/>
        <v>-0.7429491057047238</v>
      </c>
      <c r="M17" s="31">
        <f t="shared" si="6"/>
        <v>0.12264965804477922</v>
      </c>
      <c r="N17" s="31">
        <f t="shared" si="10"/>
        <v>221.53066107890604</v>
      </c>
      <c r="O17" s="31">
        <f t="shared" si="7"/>
        <v>3.5125118054955053</v>
      </c>
      <c r="P17" s="31">
        <f t="shared" si="8"/>
        <v>-2.328868201375455</v>
      </c>
      <c r="Q17" s="31">
        <f t="shared" si="9"/>
        <v>-2.629469924598406</v>
      </c>
    </row>
    <row r="18" spans="2:17" ht="12.75">
      <c r="B18" s="31">
        <v>24</v>
      </c>
      <c r="C18" s="31"/>
      <c r="D18" s="31">
        <f t="shared" si="0"/>
        <v>3.4257954661597534</v>
      </c>
      <c r="E18" s="31">
        <f t="shared" si="1"/>
        <v>1.5252624115342508</v>
      </c>
      <c r="F18" s="7" t="s">
        <v>74</v>
      </c>
      <c r="H18" s="40">
        <v>12</v>
      </c>
      <c r="I18" s="31">
        <f t="shared" si="2"/>
        <v>2.2384955243992632E-18</v>
      </c>
      <c r="J18" s="31">
        <f t="shared" si="3"/>
        <v>1</v>
      </c>
      <c r="K18" s="31">
        <f t="shared" si="4"/>
        <v>-0.6469280115626892</v>
      </c>
      <c r="L18" s="31">
        <f t="shared" si="5"/>
        <v>-0.7507487467182632</v>
      </c>
      <c r="M18" s="31">
        <f t="shared" si="6"/>
        <v>0.13364305876663438</v>
      </c>
      <c r="N18" s="31">
        <f t="shared" si="10"/>
        <v>220.7518178528919</v>
      </c>
      <c r="O18" s="31">
        <f t="shared" si="7"/>
        <v>3.490436145540297</v>
      </c>
      <c r="P18" s="31">
        <f t="shared" si="8"/>
        <v>-2.2785001281286346</v>
      </c>
      <c r="Q18" s="31">
        <f t="shared" si="9"/>
        <v>-2.6441599142661554</v>
      </c>
    </row>
    <row r="19" spans="2:17" ht="12.75">
      <c r="B19" s="31">
        <v>26</v>
      </c>
      <c r="C19" s="31"/>
      <c r="D19" s="31">
        <f t="shared" si="0"/>
        <v>3.3704776736218762</v>
      </c>
      <c r="E19" s="31">
        <f t="shared" si="1"/>
        <v>1.6438918004590404</v>
      </c>
      <c r="F19" s="7" t="s">
        <v>74</v>
      </c>
      <c r="H19" s="40">
        <v>13</v>
      </c>
      <c r="I19" s="31">
        <f t="shared" si="2"/>
        <v>2.625455199221501E-18</v>
      </c>
      <c r="J19" s="31">
        <f t="shared" si="3"/>
        <v>1</v>
      </c>
      <c r="K19" s="31">
        <f t="shared" si="4"/>
        <v>-0.6356440024871535</v>
      </c>
      <c r="L19" s="31">
        <f t="shared" si="5"/>
        <v>-0.7583197023908859</v>
      </c>
      <c r="M19" s="31">
        <f t="shared" si="6"/>
        <v>0.14459575051815984</v>
      </c>
      <c r="N19" s="31">
        <f t="shared" si="10"/>
        <v>219.97064523840754</v>
      </c>
      <c r="O19" s="31">
        <f t="shared" si="7"/>
        <v>3.4683025038681934</v>
      </c>
      <c r="P19" s="31">
        <f t="shared" si="8"/>
        <v>-2.228020368173228</v>
      </c>
      <c r="Q19" s="31">
        <f t="shared" si="9"/>
        <v>-2.6580157067526176</v>
      </c>
    </row>
    <row r="20" spans="2:17" ht="12.75">
      <c r="B20" s="31">
        <v>28</v>
      </c>
      <c r="C20" s="31"/>
      <c r="D20" s="31">
        <f t="shared" si="0"/>
        <v>3.3110534732209764</v>
      </c>
      <c r="E20" s="31">
        <f t="shared" si="1"/>
        <v>1.7605183604470904</v>
      </c>
      <c r="F20" s="7" t="s">
        <v>74</v>
      </c>
      <c r="H20" s="40">
        <v>14</v>
      </c>
      <c r="I20" s="31">
        <f t="shared" si="2"/>
        <v>3.042818455618148E-18</v>
      </c>
      <c r="J20" s="31">
        <f t="shared" si="3"/>
        <v>1</v>
      </c>
      <c r="K20" s="31">
        <f t="shared" si="4"/>
        <v>-0.6241663700908385</v>
      </c>
      <c r="L20" s="31">
        <f t="shared" si="5"/>
        <v>-0.7656596665361523</v>
      </c>
      <c r="M20" s="31">
        <f t="shared" si="6"/>
        <v>0.15550439700334698</v>
      </c>
      <c r="N20" s="31">
        <f t="shared" si="10"/>
        <v>219.18694641325658</v>
      </c>
      <c r="O20" s="31">
        <f t="shared" si="7"/>
        <v>3.446116570451504</v>
      </c>
      <c r="P20" s="31">
        <f t="shared" si="8"/>
        <v>-2.1774381703743027</v>
      </c>
      <c r="Q20" s="31">
        <f t="shared" si="9"/>
        <v>-2.6710451945516467</v>
      </c>
    </row>
    <row r="21" spans="2:17" ht="12.75">
      <c r="B21" s="31">
        <v>30</v>
      </c>
      <c r="C21" s="31"/>
      <c r="D21" s="31">
        <f t="shared" si="0"/>
        <v>3.247595264191645</v>
      </c>
      <c r="E21" s="31">
        <f t="shared" si="1"/>
        <v>1.8749999999999998</v>
      </c>
      <c r="F21" s="7" t="s">
        <v>74</v>
      </c>
      <c r="H21" s="40">
        <v>15</v>
      </c>
      <c r="I21" s="31">
        <f t="shared" si="2"/>
        <v>3.4904581606982146E-18</v>
      </c>
      <c r="J21" s="31">
        <f t="shared" si="3"/>
        <v>1</v>
      </c>
      <c r="K21" s="31">
        <f t="shared" si="4"/>
        <v>-0.6124986105717585</v>
      </c>
      <c r="L21" s="31">
        <f t="shared" si="5"/>
        <v>-0.77276640332988</v>
      </c>
      <c r="M21" s="31">
        <f t="shared" si="6"/>
        <v>0.16636567534280194</v>
      </c>
      <c r="N21" s="31">
        <f t="shared" si="10"/>
        <v>218.4005239738436</v>
      </c>
      <c r="O21" s="31">
        <f t="shared" si="7"/>
        <v>3.4238841526097006</v>
      </c>
      <c r="P21" s="31">
        <f t="shared" si="8"/>
        <v>-2.1267625799746277</v>
      </c>
      <c r="Q21" s="31">
        <f t="shared" si="9"/>
        <v>-2.683256159764012</v>
      </c>
    </row>
    <row r="22" spans="2:17" ht="12.75">
      <c r="B22" s="31">
        <v>32</v>
      </c>
      <c r="C22" s="31"/>
      <c r="D22" s="31">
        <f t="shared" si="0"/>
        <v>3.1801803605865975</v>
      </c>
      <c r="E22" s="31">
        <f t="shared" si="1"/>
        <v>1.9871972408745184</v>
      </c>
      <c r="F22" s="7" t="s">
        <v>74</v>
      </c>
      <c r="H22" s="40">
        <v>16</v>
      </c>
      <c r="I22" s="31">
        <f t="shared" si="2"/>
        <v>3.968237959071157E-18</v>
      </c>
      <c r="J22" s="31">
        <f t="shared" si="3"/>
        <v>1</v>
      </c>
      <c r="K22" s="31">
        <f t="shared" si="4"/>
        <v>-0.600644278042491</v>
      </c>
      <c r="L22" s="31">
        <f t="shared" si="5"/>
        <v>-0.7796377479911972</v>
      </c>
      <c r="M22" s="31">
        <f t="shared" si="6"/>
        <v>0.17717627708592706</v>
      </c>
      <c r="N22" s="31">
        <f t="shared" si="10"/>
        <v>217.61117991755327</v>
      </c>
      <c r="O22" s="31">
        <f t="shared" si="7"/>
        <v>3.401611177586167</v>
      </c>
      <c r="P22" s="31">
        <f t="shared" si="8"/>
        <v>-2.0760024474956955</v>
      </c>
      <c r="Q22" s="31">
        <f t="shared" si="9"/>
        <v>-2.694656275199312</v>
      </c>
    </row>
    <row r="23" spans="2:17" ht="12.75">
      <c r="B23" s="31">
        <v>34</v>
      </c>
      <c r="C23" s="31"/>
      <c r="D23" s="31">
        <f t="shared" si="0"/>
        <v>3.108890897081406</v>
      </c>
      <c r="E23" s="31">
        <f t="shared" si="1"/>
        <v>2.096973388015301</v>
      </c>
      <c r="F23" s="7" t="s">
        <v>74</v>
      </c>
      <c r="H23" s="40">
        <v>17</v>
      </c>
      <c r="I23" s="31">
        <f t="shared" si="2"/>
        <v>4.476012314382039E-18</v>
      </c>
      <c r="J23" s="31">
        <f t="shared" si="3"/>
        <v>1</v>
      </c>
      <c r="K23" s="31">
        <f t="shared" si="4"/>
        <v>-0.5886069834475599</v>
      </c>
      <c r="L23" s="31">
        <f t="shared" si="5"/>
        <v>-0.786271607441956</v>
      </c>
      <c r="M23" s="31">
        <f t="shared" si="6"/>
        <v>0.18793290921870667</v>
      </c>
      <c r="N23" s="31">
        <f t="shared" si="10"/>
        <v>216.81871563161042</v>
      </c>
      <c r="O23" s="31">
        <f t="shared" si="7"/>
        <v>3.3793036951585065</v>
      </c>
      <c r="P23" s="31">
        <f t="shared" si="8"/>
        <v>-2.0251664372629867</v>
      </c>
      <c r="Q23" s="31">
        <f t="shared" si="9"/>
        <v>-2.705253105625327</v>
      </c>
    </row>
    <row r="24" spans="2:17" ht="12.75">
      <c r="B24" s="31">
        <v>36</v>
      </c>
      <c r="C24" s="31"/>
      <c r="D24" s="31">
        <f t="shared" si="0"/>
        <v>3.033813728906053</v>
      </c>
      <c r="E24" s="31">
        <f t="shared" si="1"/>
        <v>2.204194696096774</v>
      </c>
      <c r="F24" s="7" t="s">
        <v>74</v>
      </c>
      <c r="H24" s="40">
        <v>18</v>
      </c>
      <c r="I24" s="31">
        <f t="shared" si="2"/>
        <v>5.013626553643297E-18</v>
      </c>
      <c r="J24" s="31">
        <f t="shared" si="3"/>
        <v>1</v>
      </c>
      <c r="K24" s="31">
        <f t="shared" si="4"/>
        <v>-0.576390393463507</v>
      </c>
      <c r="L24" s="31">
        <f t="shared" si="5"/>
        <v>-0.7926659609443036</v>
      </c>
      <c r="M24" s="31">
        <f t="shared" si="6"/>
        <v>0.19863229516679123</v>
      </c>
      <c r="N24" s="31">
        <f t="shared" si="10"/>
        <v>216.02293188904645</v>
      </c>
      <c r="O24" s="31">
        <f t="shared" si="7"/>
        <v>3.3569678802778258</v>
      </c>
      <c r="P24" s="31">
        <f t="shared" si="8"/>
        <v>-1.9742630355694621</v>
      </c>
      <c r="Q24" s="31">
        <f t="shared" si="9"/>
        <v>-2.7150541091479288</v>
      </c>
    </row>
    <row r="25" spans="2:17" ht="12.75">
      <c r="B25" s="31">
        <v>38</v>
      </c>
      <c r="C25" s="31"/>
      <c r="D25" s="31">
        <f t="shared" si="0"/>
        <v>2.955040326025207</v>
      </c>
      <c r="E25" s="31">
        <f t="shared" si="1"/>
        <v>2.3087305324712184</v>
      </c>
      <c r="F25" s="7" t="s">
        <v>74</v>
      </c>
      <c r="H25" s="40">
        <v>19</v>
      </c>
      <c r="I25" s="31">
        <f t="shared" si="2"/>
        <v>5.5809169143496655E-18</v>
      </c>
      <c r="J25" s="31">
        <f t="shared" si="3"/>
        <v>1</v>
      </c>
      <c r="K25" s="31">
        <f t="shared" si="4"/>
        <v>-0.5639982293819858</v>
      </c>
      <c r="L25" s="31">
        <f t="shared" si="5"/>
        <v>-0.7988188607162202</v>
      </c>
      <c r="M25" s="31">
        <f t="shared" si="6"/>
        <v>0.20927117579357382</v>
      </c>
      <c r="N25" s="31">
        <f t="shared" si="10"/>
        <v>215.22362885242967</v>
      </c>
      <c r="O25" s="31">
        <f t="shared" si="7"/>
        <v>3.334610035731745</v>
      </c>
      <c r="P25" s="31">
        <f t="shared" si="8"/>
        <v>-1.923300558491064</v>
      </c>
      <c r="Q25" s="31">
        <f t="shared" si="9"/>
        <v>-2.724066638705968</v>
      </c>
    </row>
    <row r="26" spans="2:17" ht="12.75">
      <c r="B26" s="31">
        <v>40</v>
      </c>
      <c r="C26" s="31"/>
      <c r="D26" s="31">
        <f t="shared" si="0"/>
        <v>2.8726666616961674</v>
      </c>
      <c r="E26" s="31">
        <f t="shared" si="1"/>
        <v>2.410453536324522</v>
      </c>
      <c r="F26" s="7" t="s">
        <v>74</v>
      </c>
      <c r="H26" s="40">
        <v>20</v>
      </c>
      <c r="I26" s="31">
        <f t="shared" si="2"/>
        <v>6.177710594361824E-18</v>
      </c>
      <c r="J26" s="31">
        <f t="shared" si="3"/>
        <v>1</v>
      </c>
      <c r="K26" s="31">
        <f t="shared" si="4"/>
        <v>-0.5514342659762215</v>
      </c>
      <c r="L26" s="31">
        <f t="shared" si="5"/>
        <v>-0.8047284325248305</v>
      </c>
      <c r="M26" s="31">
        <f t="shared" si="6"/>
        <v>0.21984631039295421</v>
      </c>
      <c r="N26" s="31">
        <f t="shared" si="10"/>
        <v>214.42060608605226</v>
      </c>
      <c r="O26" s="31">
        <f t="shared" si="7"/>
        <v>3.312236594825176</v>
      </c>
      <c r="P26" s="31">
        <f t="shared" si="8"/>
        <v>-1.8722871593676256</v>
      </c>
      <c r="Q26" s="31">
        <f t="shared" si="9"/>
        <v>-2.7322979436668664</v>
      </c>
    </row>
    <row r="27" spans="2:17" ht="12.75">
      <c r="B27" s="31">
        <v>42</v>
      </c>
      <c r="C27" s="31"/>
      <c r="D27" s="31">
        <f t="shared" si="0"/>
        <v>2.7867930955402285</v>
      </c>
      <c r="E27" s="31">
        <f t="shared" si="1"/>
        <v>2.509239773845718</v>
      </c>
      <c r="F27" s="7" t="s">
        <v>74</v>
      </c>
      <c r="H27" s="40">
        <v>21</v>
      </c>
      <c r="I27" s="31">
        <f t="shared" si="2"/>
        <v>6.803825804543568E-18</v>
      </c>
      <c r="J27" s="31">
        <f t="shared" si="3"/>
        <v>1</v>
      </c>
      <c r="K27" s="31">
        <f t="shared" si="4"/>
        <v>-0.538702330351177</v>
      </c>
      <c r="L27" s="31">
        <f t="shared" si="5"/>
        <v>-0.8103928762573143</v>
      </c>
      <c r="M27" s="31">
        <f t="shared" si="6"/>
        <v>0.23035447767648992</v>
      </c>
      <c r="N27" s="31">
        <f t="shared" si="10"/>
        <v>213.6136625773011</v>
      </c>
      <c r="O27" s="31">
        <f t="shared" si="7"/>
        <v>3.2898541240721233</v>
      </c>
      <c r="P27" s="31">
        <f t="shared" si="8"/>
        <v>-1.8212308359622913</v>
      </c>
      <c r="Q27" s="31">
        <f t="shared" si="9"/>
        <v>-2.739755171509756</v>
      </c>
    </row>
    <row r="28" spans="2:17" ht="12.75">
      <c r="B28" s="31">
        <v>44</v>
      </c>
      <c r="C28" s="31"/>
      <c r="D28" s="31">
        <f t="shared" si="0"/>
        <v>2.6975242512699418</v>
      </c>
      <c r="E28" s="31">
        <f t="shared" si="1"/>
        <v>2.6049688892212397</v>
      </c>
      <c r="F28" s="7" t="s">
        <v>74</v>
      </c>
      <c r="H28" s="40">
        <v>22</v>
      </c>
      <c r="I28" s="31">
        <f t="shared" si="2"/>
        <v>7.459071824136549E-18</v>
      </c>
      <c r="J28" s="31">
        <f t="shared" si="3"/>
        <v>1</v>
      </c>
      <c r="K28" s="31">
        <f t="shared" si="4"/>
        <v>-0.5258063007777809</v>
      </c>
      <c r="L28" s="31">
        <f t="shared" si="5"/>
        <v>-0.8158104664692383</v>
      </c>
      <c r="M28" s="31">
        <f t="shared" si="6"/>
        <v>0.24079247675463142</v>
      </c>
      <c r="N28" s="31">
        <f t="shared" si="10"/>
        <v>212.80259676797868</v>
      </c>
      <c r="O28" s="31">
        <f t="shared" si="7"/>
        <v>3.2674693258909095</v>
      </c>
      <c r="P28" s="31">
        <f t="shared" si="8"/>
        <v>-1.770139437312226</v>
      </c>
      <c r="Q28" s="31">
        <f t="shared" si="9"/>
        <v>-2.7464453695841016</v>
      </c>
    </row>
    <row r="29" spans="2:17" ht="12.75">
      <c r="B29" s="31">
        <v>46</v>
      </c>
      <c r="C29" s="31"/>
      <c r="D29" s="31">
        <f t="shared" si="0"/>
        <v>2.6049688892212397</v>
      </c>
      <c r="E29" s="31">
        <f t="shared" si="1"/>
        <v>2.6975242512699413</v>
      </c>
      <c r="F29" s="7" t="s">
        <v>74</v>
      </c>
      <c r="H29" s="40">
        <v>23</v>
      </c>
      <c r="I29" s="31">
        <f t="shared" si="2"/>
        <v>8.143249058855697E-18</v>
      </c>
      <c r="J29" s="31">
        <f t="shared" si="3"/>
        <v>1</v>
      </c>
      <c r="K29" s="31">
        <f t="shared" si="4"/>
        <v>-0.512750105511568</v>
      </c>
      <c r="L29" s="31">
        <f t="shared" si="5"/>
        <v>-0.8209795529101421</v>
      </c>
      <c r="M29" s="31">
        <f t="shared" si="6"/>
        <v>0.2511571281117444</v>
      </c>
      <c r="N29" s="31">
        <f t="shared" si="10"/>
        <v>211.98720659637695</v>
      </c>
      <c r="O29" s="31">
        <f t="shared" si="7"/>
        <v>3.2450890412943365</v>
      </c>
      <c r="P29" s="31">
        <f t="shared" si="8"/>
        <v>-1.7190206702829978</v>
      </c>
      <c r="Q29" s="31">
        <f t="shared" si="9"/>
        <v>-2.7523754869327677</v>
      </c>
    </row>
    <row r="30" spans="2:17" ht="12.75">
      <c r="B30" s="31">
        <v>48</v>
      </c>
      <c r="C30" s="31"/>
      <c r="D30" s="31">
        <f t="shared" si="0"/>
        <v>2.509239773845718</v>
      </c>
      <c r="E30" s="31">
        <f t="shared" si="1"/>
        <v>2.7867930955402285</v>
      </c>
      <c r="F30" s="7" t="s">
        <v>74</v>
      </c>
      <c r="H30" s="40">
        <v>24</v>
      </c>
      <c r="I30" s="31">
        <f t="shared" si="2"/>
        <v>8.856149101687552E-18</v>
      </c>
      <c r="J30" s="31">
        <f t="shared" si="3"/>
        <v>1</v>
      </c>
      <c r="K30" s="31">
        <f t="shared" si="4"/>
        <v>-0.49953772159609433</v>
      </c>
      <c r="L30" s="31">
        <f t="shared" si="5"/>
        <v>-0.825898561026222</v>
      </c>
      <c r="M30" s="31">
        <f t="shared" si="6"/>
        <v>0.26144527457462075</v>
      </c>
      <c r="N30" s="31">
        <f t="shared" si="10"/>
        <v>211.1672895509472</v>
      </c>
      <c r="O30" s="31">
        <f t="shared" si="7"/>
        <v>3.222720252565276</v>
      </c>
      <c r="P30" s="31">
        <f t="shared" si="8"/>
        <v>-1.6678821058386877</v>
      </c>
      <c r="Q30" s="31">
        <f t="shared" si="9"/>
        <v>-2.7575523761693996</v>
      </c>
    </row>
    <row r="31" spans="2:17" ht="12.75">
      <c r="B31" s="31">
        <v>50</v>
      </c>
      <c r="C31" s="31"/>
      <c r="D31" s="31">
        <f t="shared" si="0"/>
        <v>2.4104535363245225</v>
      </c>
      <c r="E31" s="31">
        <f t="shared" si="1"/>
        <v>2.8726666616961674</v>
      </c>
      <c r="F31" s="7" t="s">
        <v>74</v>
      </c>
      <c r="H31" s="40">
        <v>25</v>
      </c>
      <c r="I31" s="31">
        <f t="shared" si="2"/>
        <v>9.597554796373032E-18</v>
      </c>
      <c r="J31" s="31">
        <f t="shared" si="3"/>
        <v>1</v>
      </c>
      <c r="K31" s="31">
        <f t="shared" si="4"/>
        <v>-0.48617317365149193</v>
      </c>
      <c r="L31" s="31">
        <f t="shared" si="5"/>
        <v>-0.8305659924399543</v>
      </c>
      <c r="M31" s="31">
        <f t="shared" si="6"/>
        <v>0.27165378227418446</v>
      </c>
      <c r="N31" s="31">
        <f t="shared" si="10"/>
        <v>210.34264273644771</v>
      </c>
      <c r="O31" s="31">
        <f t="shared" si="7"/>
        <v>3.2003700859071413</v>
      </c>
      <c r="P31" s="31">
        <f t="shared" si="8"/>
        <v>-1.6167311850393857</v>
      </c>
      <c r="Q31" s="31">
        <f t="shared" si="9"/>
        <v>-2.7619827954008738</v>
      </c>
    </row>
    <row r="32" spans="2:17" ht="12.75">
      <c r="B32" s="31">
        <v>52</v>
      </c>
      <c r="C32" s="31"/>
      <c r="D32" s="31">
        <f t="shared" si="0"/>
        <v>2.3087305324712184</v>
      </c>
      <c r="E32" s="31">
        <f t="shared" si="1"/>
        <v>2.9550403260252076</v>
      </c>
      <c r="F32" s="7" t="s">
        <v>74</v>
      </c>
      <c r="H32" s="40">
        <v>26</v>
      </c>
      <c r="I32" s="31">
        <f t="shared" si="2"/>
        <v>1.0367240303555378E-17</v>
      </c>
      <c r="J32" s="31">
        <f t="shared" si="3"/>
        <v>1</v>
      </c>
      <c r="K32" s="31">
        <f t="shared" si="4"/>
        <v>-0.47266053264853014</v>
      </c>
      <c r="L32" s="31">
        <f t="shared" si="5"/>
        <v>-0.8349804254065161</v>
      </c>
      <c r="M32" s="31">
        <f t="shared" si="6"/>
        <v>0.28177954160009816</v>
      </c>
      <c r="N32" s="31">
        <f t="shared" si="10"/>
        <v>209.51306295349167</v>
      </c>
      <c r="O32" s="31">
        <f t="shared" si="7"/>
        <v>3.1780458140575347</v>
      </c>
      <c r="P32" s="31">
        <f t="shared" si="8"/>
        <v>-1.5655752247774202</v>
      </c>
      <c r="Q32" s="31">
        <f t="shared" si="9"/>
        <v>-2.7656734101863414</v>
      </c>
    </row>
    <row r="33" spans="2:17" ht="12.75">
      <c r="B33" s="31">
        <v>54</v>
      </c>
      <c r="C33" s="31"/>
      <c r="D33" s="31">
        <f t="shared" si="0"/>
        <v>2.204194696096774</v>
      </c>
      <c r="E33" s="31">
        <f t="shared" si="1"/>
        <v>3.033813728906053</v>
      </c>
      <c r="F33" s="7" t="s">
        <v>74</v>
      </c>
      <c r="H33" s="40">
        <v>27</v>
      </c>
      <c r="I33" s="31">
        <f t="shared" si="2"/>
        <v>1.1164971169573006E-17</v>
      </c>
      <c r="J33" s="31">
        <f t="shared" si="3"/>
        <v>1</v>
      </c>
      <c r="K33" s="31">
        <f t="shared" si="4"/>
        <v>-0.45900391466855806</v>
      </c>
      <c r="L33" s="31">
        <f t="shared" si="5"/>
        <v>-0.8391405152468617</v>
      </c>
      <c r="M33" s="31">
        <f t="shared" si="6"/>
        <v>0.2918194681479807</v>
      </c>
      <c r="N33" s="31">
        <f t="shared" si="10"/>
        <v>208.67834679245522</v>
      </c>
      <c r="O33" s="31">
        <f t="shared" si="7"/>
        <v>3.155754858852161</v>
      </c>
      <c r="P33" s="31">
        <f t="shared" si="8"/>
        <v>-1.514421423263221</v>
      </c>
      <c r="Q33" s="31">
        <f t="shared" si="9"/>
        <v>-2.7686307955251857</v>
      </c>
    </row>
    <row r="34" spans="2:17" ht="12.75">
      <c r="B34" s="31">
        <v>56</v>
      </c>
      <c r="C34" s="31"/>
      <c r="D34" s="31">
        <f t="shared" si="0"/>
        <v>2.0969733880153005</v>
      </c>
      <c r="E34" s="31">
        <f t="shared" si="1"/>
        <v>3.1088908970814066</v>
      </c>
      <c r="F34" s="7" t="s">
        <v>74</v>
      </c>
      <c r="H34" s="40">
        <v>28</v>
      </c>
      <c r="I34" s="31">
        <f t="shared" si="2"/>
        <v>1.1990504397876326E-17</v>
      </c>
      <c r="J34" s="31">
        <f t="shared" si="3"/>
        <v>1</v>
      </c>
      <c r="K34" s="31">
        <f t="shared" si="4"/>
        <v>-0.4452074796497072</v>
      </c>
      <c r="L34" s="31">
        <f t="shared" si="5"/>
        <v>-0.8430449947573267</v>
      </c>
      <c r="M34" s="31">
        <f t="shared" si="6"/>
        <v>0.30177050365894686</v>
      </c>
      <c r="N34" s="31">
        <f t="shared" si="10"/>
        <v>207.83829074274573</v>
      </c>
      <c r="O34" s="31">
        <f t="shared" si="7"/>
        <v>3.1335047937247613</v>
      </c>
      <c r="P34" s="31">
        <f t="shared" si="8"/>
        <v>-1.4632768652714192</v>
      </c>
      <c r="Q34" s="31">
        <f t="shared" si="9"/>
        <v>-2.770861437866843</v>
      </c>
    </row>
    <row r="35" spans="2:17" ht="12.75">
      <c r="B35" s="31">
        <v>58</v>
      </c>
      <c r="C35" s="31"/>
      <c r="D35" s="31">
        <f t="shared" si="0"/>
        <v>1.9871972408745184</v>
      </c>
      <c r="E35" s="31">
        <f t="shared" si="1"/>
        <v>3.1801803605865975</v>
      </c>
      <c r="F35" s="7" t="s">
        <v>74</v>
      </c>
      <c r="H35" s="40">
        <v>29</v>
      </c>
      <c r="I35" s="31">
        <f t="shared" si="2"/>
        <v>1.2843588523046889E-17</v>
      </c>
      <c r="J35" s="31">
        <f t="shared" si="3"/>
        <v>1</v>
      </c>
      <c r="K35" s="31">
        <f t="shared" si="4"/>
        <v>-0.4312754301197333</v>
      </c>
      <c r="L35" s="31">
        <f t="shared" si="5"/>
        <v>-0.8466926745956282</v>
      </c>
      <c r="M35" s="31">
        <f t="shared" si="6"/>
        <v>0.31162961695118185</v>
      </c>
      <c r="N35" s="31">
        <f t="shared" si="10"/>
        <v>206.99269131846563</v>
      </c>
      <c r="O35" s="31">
        <f t="shared" si="7"/>
        <v>3.1113033461274724</v>
      </c>
      <c r="P35" s="31">
        <f t="shared" si="8"/>
        <v>-1.4121485271574006</v>
      </c>
      <c r="Q35" s="31">
        <f t="shared" si="9"/>
        <v>-2.772371737136128</v>
      </c>
    </row>
    <row r="36" spans="2:17" ht="12.75">
      <c r="B36" s="31">
        <v>60</v>
      </c>
      <c r="C36" s="31"/>
      <c r="D36" s="31">
        <f t="shared" si="0"/>
        <v>1.8750000000000004</v>
      </c>
      <c r="E36" s="31">
        <f t="shared" si="1"/>
        <v>3.2475952641916446</v>
      </c>
      <c r="F36" s="7" t="s">
        <v>74</v>
      </c>
      <c r="H36" s="40">
        <v>30</v>
      </c>
      <c r="I36" s="31">
        <f t="shared" si="2"/>
        <v>1.3723963687396122E-17</v>
      </c>
      <c r="J36" s="31">
        <f t="shared" si="3"/>
        <v>1</v>
      </c>
      <c r="K36" s="31">
        <f t="shared" si="4"/>
        <v>-0.41721200991588625</v>
      </c>
      <c r="L36" s="31">
        <f t="shared" si="5"/>
        <v>-0.850082443643152</v>
      </c>
      <c r="M36" s="31">
        <f t="shared" si="6"/>
        <v>0.3213938048432696</v>
      </c>
      <c r="N36" s="31">
        <f t="shared" si="10"/>
        <v>206.14134520154133</v>
      </c>
      <c r="O36" s="31">
        <f t="shared" si="7"/>
        <v>3.089158399854485</v>
      </c>
      <c r="P36" s="31">
        <f t="shared" si="8"/>
        <v>-1.3610432816541302</v>
      </c>
      <c r="Q36" s="31">
        <f t="shared" si="9"/>
        <v>-2.7731680087682533</v>
      </c>
    </row>
    <row r="37" spans="2:17" ht="12.75">
      <c r="B37" s="31">
        <v>62</v>
      </c>
      <c r="C37" s="31"/>
      <c r="D37" s="31">
        <f t="shared" si="0"/>
        <v>1.7605183604470906</v>
      </c>
      <c r="E37" s="31">
        <f t="shared" si="1"/>
        <v>3.311053473220976</v>
      </c>
      <c r="F37" s="7" t="s">
        <v>74</v>
      </c>
      <c r="H37" s="40">
        <v>31</v>
      </c>
      <c r="I37" s="31">
        <f t="shared" si="2"/>
        <v>1.4631361720120616E-17</v>
      </c>
      <c r="J37" s="31">
        <f t="shared" si="3"/>
        <v>1</v>
      </c>
      <c r="K37" s="31">
        <f t="shared" si="4"/>
        <v>-0.4030215028921952</v>
      </c>
      <c r="L37" s="31">
        <f t="shared" si="5"/>
        <v>-0.8532132693434085</v>
      </c>
      <c r="M37" s="31">
        <f t="shared" si="6"/>
        <v>0.33106009306899054</v>
      </c>
      <c r="N37" s="31">
        <f t="shared" si="10"/>
        <v>205.28404940341892</v>
      </c>
      <c r="O37" s="31">
        <f t="shared" si="7"/>
        <v>3.0670779972503666</v>
      </c>
      <c r="P37" s="31">
        <f t="shared" si="8"/>
        <v>-1.309967902458806</v>
      </c>
      <c r="Q37" s="31">
        <f t="shared" si="9"/>
        <v>-2.773256485748297</v>
      </c>
    </row>
    <row r="38" spans="2:17" ht="12.75">
      <c r="B38" s="31">
        <v>64</v>
      </c>
      <c r="C38" s="31"/>
      <c r="D38" s="31">
        <f t="shared" si="0"/>
        <v>1.6438918004590404</v>
      </c>
      <c r="E38" s="31">
        <f t="shared" si="1"/>
        <v>3.3704776736218762</v>
      </c>
      <c r="F38" s="7" t="s">
        <v>74</v>
      </c>
      <c r="H38" s="40">
        <v>32</v>
      </c>
      <c r="I38" s="31">
        <f aca="true" t="shared" si="11" ref="I38:I69">(X_2*X_S+Y_2*Y_S+Z_2*Z_S)*(1-COS(RADIANS(H38)))</f>
        <v>1.5565506218989432E-17</v>
      </c>
      <c r="J38" s="31">
        <f aca="true" t="shared" si="12" ref="J38:J69">SIGN(COS(RADIANS(H38))*Z_S+I38*Z_2+(SIN(RADIANS(H38))*(X_2*Y_S-Y_2*X_S)))</f>
        <v>1</v>
      </c>
      <c r="K38" s="31">
        <f aca="true" t="shared" si="13" ref="K38:K69">(COS(RADIANS(H38))*X_S+I38*X_2+(SIN(RADIANS(H38))*(Y_2*Z_S-Z_2*Y_S)))*J38</f>
        <v>-0.3887082316145662</v>
      </c>
      <c r="L38" s="31">
        <f aca="true" t="shared" si="14" ref="L38:L69">(COS(RADIANS(H38))*Y_S+I38*Y_2-(SIN(RADIANS(H38))*(X_2*Z_S-Z_2*X_S)))*J38</f>
        <v>-0.8560841980165603</v>
      </c>
      <c r="M38" s="31">
        <f aca="true" t="shared" si="15" ref="M38:M69">(COS(RADIANS(H38))*Z_S+I38*Z_2+(SIN(RADIANS(H38))*(X_2*Y_S-Y_2*X_S)))*J38</f>
        <v>0.3406255371833114</v>
      </c>
      <c r="N38" s="31">
        <f t="shared" si="10"/>
        <v>204.42060144645433</v>
      </c>
      <c r="O38" s="31">
        <f t="shared" si="7"/>
        <v>3.0450703412827234</v>
      </c>
      <c r="P38" s="31">
        <f t="shared" si="8"/>
        <v>-1.2589290686184367</v>
      </c>
      <c r="Q38" s="31">
        <f t="shared" si="9"/>
        <v>-2.7726433206503853</v>
      </c>
    </row>
    <row r="39" spans="2:17" ht="12.75">
      <c r="B39" s="31">
        <v>66</v>
      </c>
      <c r="C39" s="31"/>
      <c r="D39" s="31">
        <f t="shared" si="0"/>
        <v>1.5252624115342508</v>
      </c>
      <c r="E39" s="31">
        <f t="shared" si="1"/>
        <v>3.4257954661597534</v>
      </c>
      <c r="F39" s="7" t="s">
        <v>74</v>
      </c>
      <c r="H39" s="40">
        <v>33</v>
      </c>
      <c r="I39" s="31">
        <f t="shared" si="11"/>
        <v>1.652611263453894E-17</v>
      </c>
      <c r="J39" s="31">
        <f t="shared" si="12"/>
        <v>1</v>
      </c>
      <c r="K39" s="31">
        <f t="shared" si="13"/>
        <v>-0.37427655604408616</v>
      </c>
      <c r="L39" s="31">
        <f t="shared" si="14"/>
        <v>-0.8586943551499225</v>
      </c>
      <c r="M39" s="31">
        <f t="shared" si="15"/>
        <v>0.35008722345929266</v>
      </c>
      <c r="N39" s="31">
        <f t="shared" si="10"/>
        <v>203.55079956614816</v>
      </c>
      <c r="O39" s="31">
        <f t="shared" si="7"/>
        <v>3.02314379745716</v>
      </c>
      <c r="P39" s="31">
        <f t="shared" si="8"/>
        <v>-1.2079333687231995</v>
      </c>
      <c r="Q39" s="31">
        <f t="shared" si="9"/>
        <v>-2.771334587672286</v>
      </c>
    </row>
    <row r="40" spans="2:17" ht="12.75">
      <c r="B40" s="31">
        <v>68</v>
      </c>
      <c r="C40" s="31"/>
      <c r="D40" s="31">
        <f t="shared" si="0"/>
        <v>1.4047747253096698</v>
      </c>
      <c r="E40" s="31">
        <f t="shared" si="1"/>
        <v>3.4769394546254526</v>
      </c>
      <c r="F40" s="7" t="s">
        <v>74</v>
      </c>
      <c r="H40" s="40">
        <v>34</v>
      </c>
      <c r="I40" s="31">
        <f t="shared" si="11"/>
        <v>1.7512888356749382E-17</v>
      </c>
      <c r="J40" s="31">
        <f t="shared" si="12"/>
        <v>1</v>
      </c>
      <c r="K40" s="31">
        <f t="shared" si="13"/>
        <v>-0.35973087220893657</v>
      </c>
      <c r="L40" s="31">
        <f t="shared" si="14"/>
        <v>-0.861042945664347</v>
      </c>
      <c r="M40" s="31">
        <f t="shared" si="15"/>
        <v>0.35944226977563715</v>
      </c>
      <c r="N40" s="31">
        <f t="shared" si="10"/>
        <v>202.6744429353913</v>
      </c>
      <c r="O40" s="31">
        <f aca="true" t="shared" si="16" ref="O40:O71">IF(UPPER(Projection)="EQUAL AREA",SQRT(2)*(SIN(ACOS(ABS(M40))/2))*Radius,TAN(ACOS(ABS(M40))/2)*Radius)</f>
        <v>3.001306895550687</v>
      </c>
      <c r="P40" s="31">
        <f aca="true" t="shared" si="17" ref="P40:P71">+Xcenter+SIN(RADIANS(N40))*O40</f>
        <v>-1.156987304916046</v>
      </c>
      <c r="Q40" s="31">
        <f aca="true" t="shared" si="18" ref="Q40:Q71">Ycenter+COS(RADIANS(N40))*O40</f>
        <v>-2.7693362846615805</v>
      </c>
    </row>
    <row r="41" spans="2:17" ht="12.75">
      <c r="B41" s="31">
        <v>70</v>
      </c>
      <c r="C41" s="31"/>
      <c r="D41" s="31">
        <f t="shared" si="0"/>
        <v>1.2825755374712582</v>
      </c>
      <c r="E41" s="31">
        <f t="shared" si="1"/>
        <v>3.523847327947156</v>
      </c>
      <c r="F41" s="7" t="s">
        <v>74</v>
      </c>
      <c r="H41" s="40">
        <v>35</v>
      </c>
      <c r="I41" s="31">
        <f t="shared" si="11"/>
        <v>1.852553280417663E-17</v>
      </c>
      <c r="J41" s="31">
        <f t="shared" si="12"/>
        <v>1</v>
      </c>
      <c r="K41" s="31">
        <f t="shared" si="13"/>
        <v>-0.34507561086532124</v>
      </c>
      <c r="L41" s="31">
        <f t="shared" si="14"/>
        <v>-0.863129254156412</v>
      </c>
      <c r="M41" s="31">
        <f t="shared" si="15"/>
        <v>0.36868782649461235</v>
      </c>
      <c r="N41" s="31">
        <f t="shared" si="10"/>
        <v>201.7913319118952</v>
      </c>
      <c r="O41" s="31">
        <f t="shared" si="16"/>
        <v>2.979568331137837</v>
      </c>
      <c r="P41" s="31">
        <f t="shared" si="17"/>
        <v>-1.1060972967267209</v>
      </c>
      <c r="Q41" s="31">
        <f t="shared" si="18"/>
        <v>-2.766654335129952</v>
      </c>
    </row>
    <row r="42" spans="2:17" ht="12.75">
      <c r="B42" s="31">
        <v>72</v>
      </c>
      <c r="C42" s="31"/>
      <c r="D42" s="31">
        <f t="shared" si="0"/>
        <v>1.158813728906053</v>
      </c>
      <c r="E42" s="31">
        <f t="shared" si="1"/>
        <v>3.5664619361068257</v>
      </c>
      <c r="F42" s="7" t="s">
        <v>74</v>
      </c>
      <c r="H42" s="40">
        <v>36</v>
      </c>
      <c r="I42" s="31">
        <f t="shared" si="11"/>
        <v>1.9563737515512314E-17</v>
      </c>
      <c r="J42" s="31">
        <f t="shared" si="12"/>
        <v>1</v>
      </c>
      <c r="K42" s="31">
        <f t="shared" si="13"/>
        <v>-0.33031523614781366</v>
      </c>
      <c r="L42" s="31">
        <f t="shared" si="14"/>
        <v>-0.8649526451163398</v>
      </c>
      <c r="M42" s="31">
        <f t="shared" si="15"/>
        <v>0.3778210773300783</v>
      </c>
      <c r="N42" s="31">
        <f t="shared" si="10"/>
        <v>200.90126830998008</v>
      </c>
      <c r="O42" s="31">
        <f t="shared" si="16"/>
        <v>2.9579369668817783</v>
      </c>
      <c r="P42" s="31">
        <f t="shared" si="17"/>
        <v>-1.0552696847380112</v>
      </c>
      <c r="Q42" s="31">
        <f t="shared" si="18"/>
        <v>-2.7632945902524964</v>
      </c>
    </row>
    <row r="43" spans="2:17" ht="12.75">
      <c r="B43" s="31">
        <v>74</v>
      </c>
      <c r="C43" s="31"/>
      <c r="D43" s="31">
        <f t="shared" si="0"/>
        <v>1.0336400843137468</v>
      </c>
      <c r="E43" s="31">
        <f t="shared" si="1"/>
        <v>3.604731359768696</v>
      </c>
      <c r="F43" s="7" t="s">
        <v>74</v>
      </c>
      <c r="H43" s="40">
        <v>37</v>
      </c>
      <c r="I43" s="31">
        <f t="shared" si="11"/>
        <v>2.062718624354405E-17</v>
      </c>
      <c r="J43" s="31">
        <f t="shared" si="12"/>
        <v>1</v>
      </c>
      <c r="K43" s="31">
        <f t="shared" si="13"/>
        <v>-0.3154542442095399</v>
      </c>
      <c r="L43" s="31">
        <f t="shared" si="14"/>
        <v>-0.8665125631215811</v>
      </c>
      <c r="M43" s="31">
        <f t="shared" si="15"/>
        <v>0.38683924020535443</v>
      </c>
      <c r="N43" s="31">
        <f t="shared" si="10"/>
        <v>200.00405569788416</v>
      </c>
      <c r="O43" s="31">
        <f t="shared" si="16"/>
        <v>2.9364218335607375</v>
      </c>
      <c r="P43" s="31">
        <f t="shared" si="17"/>
        <v>-1.0045107340918191</v>
      </c>
      <c r="Q43" s="31">
        <f t="shared" si="18"/>
        <v>-2.7592628308493046</v>
      </c>
    </row>
    <row r="44" spans="2:17" ht="12.75">
      <c r="B44" s="31">
        <v>76</v>
      </c>
      <c r="C44" s="31"/>
      <c r="D44" s="31">
        <f t="shared" si="0"/>
        <v>0.9072071084987537</v>
      </c>
      <c r="E44" s="31">
        <f t="shared" si="1"/>
        <v>3.638608973534987</v>
      </c>
      <c r="F44" s="7" t="s">
        <v>74</v>
      </c>
      <c r="H44" s="40">
        <v>38</v>
      </c>
      <c r="I44" s="31">
        <f t="shared" si="11"/>
        <v>2.171555505148741E-17</v>
      </c>
      <c r="J44" s="31">
        <f t="shared" si="12"/>
        <v>1</v>
      </c>
      <c r="K44" s="31">
        <f t="shared" si="13"/>
        <v>-0.30049716185260605</v>
      </c>
      <c r="L44" s="31">
        <f t="shared" si="14"/>
        <v>-0.8678085330059997</v>
      </c>
      <c r="M44" s="31">
        <f t="shared" si="15"/>
        <v>0.39573956810066824</v>
      </c>
      <c r="N44" s="31">
        <f t="shared" si="10"/>
        <v>199.09949972173214</v>
      </c>
      <c r="O44" s="31">
        <f t="shared" si="16"/>
        <v>2.9150321307979357</v>
      </c>
      <c r="P44" s="31">
        <f t="shared" si="17"/>
        <v>-0.95382663784223</v>
      </c>
      <c r="Q44" s="31">
        <f t="shared" si="18"/>
        <v>-2.754564769346864</v>
      </c>
    </row>
    <row r="45" spans="2:17" ht="12.75">
      <c r="B45" s="31">
        <v>78</v>
      </c>
      <c r="C45" s="31"/>
      <c r="D45" s="31">
        <f t="shared" si="0"/>
        <v>0.7796688405665979</v>
      </c>
      <c r="E45" s="31">
        <f t="shared" si="1"/>
        <v>3.668053502751771</v>
      </c>
      <c r="F45" s="7" t="s">
        <v>74</v>
      </c>
      <c r="H45" s="40">
        <v>39</v>
      </c>
      <c r="I45" s="31">
        <f t="shared" si="11"/>
        <v>2.282851241166022E-17</v>
      </c>
      <c r="J45" s="31">
        <f t="shared" si="12"/>
        <v>1</v>
      </c>
      <c r="K45" s="31">
        <f t="shared" si="13"/>
        <v>-0.2854485451491906</v>
      </c>
      <c r="L45" s="31">
        <f t="shared" si="14"/>
        <v>-0.8688401600046146</v>
      </c>
      <c r="M45" s="31">
        <f t="shared" si="15"/>
        <v>0.40451934988992316</v>
      </c>
      <c r="N45" s="31">
        <f t="shared" si="10"/>
        <v>198.1874084572662</v>
      </c>
      <c r="O45" s="31">
        <f t="shared" si="16"/>
        <v>2.8937772274611877</v>
      </c>
      <c r="P45" s="31">
        <f t="shared" si="17"/>
        <v>-0.9032235201625975</v>
      </c>
      <c r="Q45" s="31">
        <f t="shared" si="18"/>
        <v>-2.7492060517171213</v>
      </c>
    </row>
    <row r="46" spans="2:17" ht="12.75">
      <c r="B46" s="31">
        <v>80</v>
      </c>
      <c r="C46" s="31"/>
      <c r="D46" s="31">
        <f t="shared" si="0"/>
        <v>0.651180666250989</v>
      </c>
      <c r="E46" s="31">
        <f t="shared" si="1"/>
        <v>3.6930290737957803</v>
      </c>
      <c r="F46" s="7" t="s">
        <v>74</v>
      </c>
      <c r="H46" s="40">
        <v>40</v>
      </c>
      <c r="I46" s="31">
        <f t="shared" si="11"/>
        <v>2.3965719306469134E-17</v>
      </c>
      <c r="J46" s="31">
        <f t="shared" si="12"/>
        <v>1</v>
      </c>
      <c r="K46" s="31">
        <f t="shared" si="13"/>
        <v>-0.27031297805372045</v>
      </c>
      <c r="L46" s="31">
        <f t="shared" si="14"/>
        <v>-0.8696071298738485</v>
      </c>
      <c r="M46" s="31">
        <f t="shared" si="15"/>
        <v>0.4131759111665348</v>
      </c>
      <c r="N46" s="31">
        <f t="shared" si="10"/>
        <v>197.26759279038765</v>
      </c>
      <c r="O46" s="31">
        <f t="shared" si="16"/>
        <v>2.872666661696168</v>
      </c>
      <c r="P46" s="31">
        <f t="shared" si="17"/>
        <v>-0.852707439413266</v>
      </c>
      <c r="Q46" s="31">
        <f t="shared" si="18"/>
        <v>-2.743192259392308</v>
      </c>
    </row>
    <row r="47" spans="2:17" ht="12.75">
      <c r="B47" s="31">
        <v>82</v>
      </c>
      <c r="C47" s="31"/>
      <c r="D47" s="31">
        <f t="shared" si="0"/>
        <v>0.5218991286002455</v>
      </c>
      <c r="E47" s="31">
        <f t="shared" si="1"/>
        <v>3.7135052577808887</v>
      </c>
      <c r="F47" s="7" t="s">
        <v>74</v>
      </c>
      <c r="H47" s="40">
        <v>41</v>
      </c>
      <c r="I47" s="31">
        <f t="shared" si="11"/>
        <v>2.5126829331677604E-17</v>
      </c>
      <c r="J47" s="31">
        <f t="shared" si="12"/>
        <v>1</v>
      </c>
      <c r="K47" s="31">
        <f t="shared" si="13"/>
        <v>-0.25509507100655465</v>
      </c>
      <c r="L47" s="31">
        <f t="shared" si="14"/>
        <v>-0.8701092089872495</v>
      </c>
      <c r="M47" s="31">
        <f t="shared" si="15"/>
        <v>0.42170661505808016</v>
      </c>
      <c r="N47" s="31">
        <f t="shared" si="10"/>
        <v>196.33986682748878</v>
      </c>
      <c r="O47" s="31">
        <f t="shared" si="16"/>
        <v>2.8517101405552685</v>
      </c>
      <c r="P47" s="31">
        <f t="shared" si="17"/>
        <v>-0.8022843910763784</v>
      </c>
      <c r="Q47" s="31">
        <f t="shared" si="18"/>
        <v>-2.736528911153864</v>
      </c>
    </row>
    <row r="48" spans="2:17" ht="12.75">
      <c r="B48" s="31">
        <v>84</v>
      </c>
      <c r="C48" s="31"/>
      <c r="D48" s="31">
        <f t="shared" si="0"/>
        <v>0.39198173725370045</v>
      </c>
      <c r="E48" s="31">
        <f t="shared" si="1"/>
        <v>3.729457107631025</v>
      </c>
      <c r="F48" s="7" t="s">
        <v>74</v>
      </c>
      <c r="H48" s="40">
        <v>42</v>
      </c>
      <c r="I48" s="31">
        <f t="shared" si="11"/>
        <v>2.6311488801924035E-17</v>
      </c>
      <c r="J48" s="31">
        <f t="shared" si="12"/>
        <v>1</v>
      </c>
      <c r="K48" s="31">
        <f t="shared" si="13"/>
        <v>-0.2397994595295987</v>
      </c>
      <c r="L48" s="31">
        <f t="shared" si="14"/>
        <v>-0.8703462444066558</v>
      </c>
      <c r="M48" s="31">
        <f t="shared" si="15"/>
        <v>0.4301088630295152</v>
      </c>
      <c r="N48" s="31">
        <f t="shared" si="10"/>
        <v>195.4040483364625</v>
      </c>
      <c r="O48" s="31">
        <f t="shared" si="16"/>
        <v>2.8309175391818537</v>
      </c>
      <c r="P48" s="31">
        <f t="shared" si="17"/>
        <v>-0.7519603105638901</v>
      </c>
      <c r="Q48" s="31">
        <f t="shared" si="18"/>
        <v>-2.729221464994019</v>
      </c>
    </row>
    <row r="49" spans="2:17" ht="12.75">
      <c r="B49" s="31">
        <v>86</v>
      </c>
      <c r="C49" s="31"/>
      <c r="D49" s="31">
        <f t="shared" si="0"/>
        <v>0.26158677654046963</v>
      </c>
      <c r="E49" s="31">
        <f t="shared" si="1"/>
        <v>3.740865188474341</v>
      </c>
      <c r="F49" s="7" t="s">
        <v>74</v>
      </c>
      <c r="H49" s="40">
        <v>43</v>
      </c>
      <c r="I49" s="31">
        <f t="shared" si="11"/>
        <v>2.751933685845774E-17</v>
      </c>
      <c r="J49" s="31">
        <f t="shared" si="12"/>
        <v>1</v>
      </c>
      <c r="K49" s="31">
        <f t="shared" si="13"/>
        <v>-0.22443080281428052</v>
      </c>
      <c r="L49" s="31">
        <f t="shared" si="14"/>
        <v>-0.8703181639287823</v>
      </c>
      <c r="M49" s="31">
        <f t="shared" si="15"/>
        <v>0.4383800956747132</v>
      </c>
      <c r="N49" s="31">
        <f t="shared" si="10"/>
        <v>194.45995921916528</v>
      </c>
      <c r="O49" s="31">
        <f t="shared" si="16"/>
        <v>2.8102988995077283</v>
      </c>
      <c r="P49" s="31">
        <f t="shared" si="17"/>
        <v>-0.7017410759047114</v>
      </c>
      <c r="Q49" s="31">
        <f t="shared" si="18"/>
        <v>-2.7212753199488007</v>
      </c>
    </row>
    <row r="50" spans="2:17" ht="12.75">
      <c r="B50" s="31">
        <v>88</v>
      </c>
      <c r="C50" s="31"/>
      <c r="D50" s="31">
        <f t="shared" si="0"/>
        <v>0.13087311263437906</v>
      </c>
      <c r="E50" s="31">
        <f t="shared" si="1"/>
        <v>3.7477156013216093</v>
      </c>
      <c r="F50" s="7" t="s">
        <v>74</v>
      </c>
      <c r="H50" s="40">
        <v>44</v>
      </c>
      <c r="I50" s="31">
        <f t="shared" si="11"/>
        <v>2.875000557905999E-17</v>
      </c>
      <c r="J50" s="31">
        <f t="shared" si="12"/>
        <v>1</v>
      </c>
      <c r="K50" s="31">
        <f t="shared" si="13"/>
        <v>-0.20899378230231508</v>
      </c>
      <c r="L50" s="31">
        <f t="shared" si="14"/>
        <v>-0.8700249761072149</v>
      </c>
      <c r="M50" s="31">
        <f t="shared" si="15"/>
        <v>0.4465177934960854</v>
      </c>
      <c r="N50" s="31">
        <f t="shared" si="10"/>
        <v>193.50742601597162</v>
      </c>
      <c r="O50" s="31">
        <f t="shared" si="16"/>
        <v>2.78986442841965</v>
      </c>
      <c r="P50" s="31">
        <f t="shared" si="17"/>
        <v>-0.6516325103166035</v>
      </c>
      <c r="Q50" s="31">
        <f t="shared" si="18"/>
        <v>-2.7126958179014067</v>
      </c>
    </row>
    <row r="51" spans="2:17" ht="12.75">
      <c r="B51" s="31">
        <v>90</v>
      </c>
      <c r="C51" s="31"/>
      <c r="D51" s="31">
        <f t="shared" si="0"/>
        <v>2.2971533529536625E-16</v>
      </c>
      <c r="E51" s="31">
        <f t="shared" si="1"/>
        <v>3.75</v>
      </c>
      <c r="F51" s="7" t="s">
        <v>74</v>
      </c>
      <c r="H51" s="40">
        <v>45</v>
      </c>
      <c r="I51" s="31">
        <f t="shared" si="11"/>
        <v>3.0003120090116764E-17</v>
      </c>
      <c r="J51" s="31">
        <f t="shared" si="12"/>
        <v>1</v>
      </c>
      <c r="K51" s="31">
        <f t="shared" si="13"/>
        <v>-0.1934931002596923</v>
      </c>
      <c r="L51" s="31">
        <f t="shared" si="14"/>
        <v>-0.8694667702498038</v>
      </c>
      <c r="M51" s="31">
        <f t="shared" si="15"/>
        <v>0.45451947767204365</v>
      </c>
      <c r="N51" s="31">
        <f t="shared" si="10"/>
        <v>192.54628044289484</v>
      </c>
      <c r="O51" s="31">
        <f t="shared" si="16"/>
        <v>2.769624495348943</v>
      </c>
      <c r="P51" s="31">
        <f t="shared" si="17"/>
        <v>-0.6016403846682915</v>
      </c>
      <c r="Q51" s="31">
        <f t="shared" si="18"/>
        <v>-2.7034882453550777</v>
      </c>
    </row>
    <row r="52" spans="2:17" ht="12.75">
      <c r="B52" s="31">
        <v>92</v>
      </c>
      <c r="C52" s="31"/>
      <c r="D52" s="31">
        <f t="shared" si="0"/>
        <v>-0.1308731126343786</v>
      </c>
      <c r="E52" s="31">
        <f t="shared" si="1"/>
        <v>3.7477156013216093</v>
      </c>
      <c r="F52" s="7" t="s">
        <v>74</v>
      </c>
      <c r="H52" s="40">
        <v>46</v>
      </c>
      <c r="I52" s="31">
        <f t="shared" si="11"/>
        <v>3.1278298680808786E-17</v>
      </c>
      <c r="J52" s="31">
        <f t="shared" si="12"/>
        <v>1</v>
      </c>
      <c r="K52" s="31">
        <f t="shared" si="13"/>
        <v>-0.17793347834432044</v>
      </c>
      <c r="L52" s="31">
        <f t="shared" si="14"/>
        <v>-0.8686437163914611</v>
      </c>
      <c r="M52" s="31">
        <f t="shared" si="15"/>
        <v>0.462382710812074</v>
      </c>
      <c r="N52" s="31">
        <f t="shared" si="10"/>
        <v>191.57635996155685</v>
      </c>
      <c r="O52" s="31">
        <f t="shared" si="16"/>
        <v>2.749589629236554</v>
      </c>
      <c r="P52" s="31">
        <f t="shared" si="17"/>
        <v>-0.5517704198369768</v>
      </c>
      <c r="Q52" s="31">
        <f t="shared" si="18"/>
        <v>-2.6936578351747156</v>
      </c>
    </row>
    <row r="53" spans="2:17" ht="12.75">
      <c r="B53" s="31">
        <v>94</v>
      </c>
      <c r="C53" s="31"/>
      <c r="D53" s="31">
        <f t="shared" si="0"/>
        <v>-0.26158677654046997</v>
      </c>
      <c r="E53" s="31">
        <f t="shared" si="1"/>
        <v>3.740865188474341</v>
      </c>
      <c r="F53" s="7" t="s">
        <v>74</v>
      </c>
      <c r="H53" s="40">
        <v>47</v>
      </c>
      <c r="I53" s="31">
        <f t="shared" si="11"/>
        <v>3.25751529193844E-17</v>
      </c>
      <c r="J53" s="31">
        <f t="shared" si="12"/>
        <v>1</v>
      </c>
      <c r="K53" s="31">
        <f t="shared" si="13"/>
        <v>-0.16231965616776461</v>
      </c>
      <c r="L53" s="31">
        <f t="shared" si="14"/>
        <v>-0.8675560652423648</v>
      </c>
      <c r="M53" s="31">
        <f t="shared" si="15"/>
        <v>0.47010509769918907</v>
      </c>
      <c r="N53" s="31">
        <f t="shared" si="10"/>
        <v>190.59750838206543</v>
      </c>
      <c r="O53" s="31">
        <f t="shared" si="16"/>
        <v>2.729770514824488</v>
      </c>
      <c r="P53" s="31">
        <f t="shared" si="17"/>
        <v>-0.5020282889662382</v>
      </c>
      <c r="Q53" s="31">
        <f t="shared" si="18"/>
        <v>-2.683209768296691</v>
      </c>
    </row>
    <row r="54" spans="2:17" ht="12.75">
      <c r="B54" s="31">
        <v>96</v>
      </c>
      <c r="C54" s="31"/>
      <c r="D54" s="31">
        <f t="shared" si="0"/>
        <v>-0.39198173725370083</v>
      </c>
      <c r="E54" s="31">
        <f t="shared" si="1"/>
        <v>3.729457107631025</v>
      </c>
      <c r="F54" s="7" t="s">
        <v>74</v>
      </c>
      <c r="H54" s="40">
        <v>48</v>
      </c>
      <c r="I54" s="31">
        <f t="shared" si="11"/>
        <v>3.389328777147962E-17</v>
      </c>
      <c r="J54" s="31">
        <f t="shared" si="12"/>
        <v>1</v>
      </c>
      <c r="K54" s="31">
        <f t="shared" si="13"/>
        <v>-0.14665638985151436</v>
      </c>
      <c r="L54" s="31">
        <f t="shared" si="14"/>
        <v>-0.8662041481115915</v>
      </c>
      <c r="M54" s="31">
        <f t="shared" si="15"/>
        <v>0.47768428601953467</v>
      </c>
      <c r="N54" s="31">
        <f t="shared" si="10"/>
        <v>189.60957649860237</v>
      </c>
      <c r="O54" s="31">
        <f t="shared" si="16"/>
        <v>2.7101779882233368</v>
      </c>
      <c r="P54" s="31">
        <f t="shared" si="17"/>
        <v>-0.4524196196291047</v>
      </c>
      <c r="Q54" s="31">
        <f t="shared" si="18"/>
        <v>-2.6721491754063713</v>
      </c>
    </row>
    <row r="55" spans="2:17" ht="12.75">
      <c r="B55" s="31">
        <v>98</v>
      </c>
      <c r="C55" s="31"/>
      <c r="D55" s="31">
        <f t="shared" si="0"/>
        <v>-0.5218991286002451</v>
      </c>
      <c r="E55" s="31">
        <f t="shared" si="1"/>
        <v>3.7135052577808887</v>
      </c>
      <c r="F55" s="7" t="s">
        <v>74</v>
      </c>
      <c r="H55" s="40">
        <v>49</v>
      </c>
      <c r="I55" s="31">
        <f t="shared" si="11"/>
        <v>3.523230172044945E-17</v>
      </c>
      <c r="J55" s="31">
        <f t="shared" si="12"/>
        <v>1</v>
      </c>
      <c r="K55" s="31">
        <f t="shared" si="13"/>
        <v>-0.1309484505782229</v>
      </c>
      <c r="L55" s="31">
        <f t="shared" si="14"/>
        <v>-0.8645883768061953</v>
      </c>
      <c r="M55" s="31">
        <f t="shared" si="15"/>
        <v>0.4851179670789271</v>
      </c>
      <c r="N55" s="31">
        <f t="shared" si="10"/>
        <v>188.6124227572349</v>
      </c>
      <c r="O55" s="31">
        <f t="shared" si="16"/>
        <v>2.690823031704721</v>
      </c>
      <c r="P55" s="31">
        <f t="shared" si="17"/>
        <v>-0.4029499959009122</v>
      </c>
      <c r="Q55" s="31">
        <f t="shared" si="18"/>
        <v>-2.660481138583027</v>
      </c>
    </row>
    <row r="56" spans="2:17" ht="12.75">
      <c r="B56" s="31">
        <v>100</v>
      </c>
      <c r="C56" s="31"/>
      <c r="D56" s="31">
        <f t="shared" si="0"/>
        <v>-0.6511806662509887</v>
      </c>
      <c r="E56" s="31">
        <f t="shared" si="1"/>
        <v>3.6930290737957803</v>
      </c>
      <c r="F56" s="7" t="s">
        <v>74</v>
      </c>
      <c r="H56" s="40">
        <v>50</v>
      </c>
      <c r="I56" s="31">
        <f t="shared" si="11"/>
        <v>3.6591786889673705E-17</v>
      </c>
      <c r="J56" s="31">
        <f t="shared" si="12"/>
        <v>1</v>
      </c>
      <c r="K56" s="31">
        <f t="shared" si="13"/>
        <v>-0.11520062313835938</v>
      </c>
      <c r="L56" s="31">
        <f t="shared" si="14"/>
        <v>-0.8627092435057684</v>
      </c>
      <c r="M56" s="31">
        <f t="shared" si="15"/>
        <v>0.492403876506104</v>
      </c>
      <c r="N56" s="31">
        <f t="shared" si="10"/>
        <v>187.60591395513535</v>
      </c>
      <c r="O56" s="31">
        <f t="shared" si="16"/>
        <v>2.6717167676669833</v>
      </c>
      <c r="P56" s="31">
        <f t="shared" si="17"/>
        <v>-0.3536249603463066</v>
      </c>
      <c r="Q56" s="31">
        <f t="shared" si="18"/>
        <v>-2.6482106929119116</v>
      </c>
    </row>
    <row r="57" spans="2:17" ht="12.75">
      <c r="B57" s="31">
        <v>102</v>
      </c>
      <c r="C57" s="31"/>
      <c r="D57" s="31">
        <f t="shared" si="0"/>
        <v>-0.7796688405665976</v>
      </c>
      <c r="E57" s="31">
        <f t="shared" si="1"/>
        <v>3.6680535027517713</v>
      </c>
      <c r="F57" s="7" t="s">
        <v>74</v>
      </c>
      <c r="H57" s="40">
        <v>51</v>
      </c>
      <c r="I57" s="31">
        <f t="shared" si="11"/>
        <v>3.797132916680022E-17</v>
      </c>
      <c r="J57" s="31">
        <f t="shared" si="12"/>
        <v>1</v>
      </c>
      <c r="K57" s="31">
        <f t="shared" si="13"/>
        <v>-0.09941770447271425</v>
      </c>
      <c r="L57" s="31">
        <f t="shared" si="14"/>
        <v>-0.8605673206125174</v>
      </c>
      <c r="M57" s="31">
        <f t="shared" si="15"/>
        <v>0.49953979494247375</v>
      </c>
      <c r="N57" s="31">
        <f t="shared" si="10"/>
        <v>186.58992597003106</v>
      </c>
      <c r="O57" s="31">
        <f t="shared" si="16"/>
        <v>2.6528704517223347</v>
      </c>
      <c r="P57" s="31">
        <f t="shared" si="17"/>
        <v>-0.3044500159246207</v>
      </c>
      <c r="Q57" s="31">
        <f t="shared" si="18"/>
        <v>-2.6353428280633553</v>
      </c>
    </row>
    <row r="58" spans="2:17" ht="12.75">
      <c r="B58" s="31">
        <v>104</v>
      </c>
      <c r="C58" s="31"/>
      <c r="D58" s="31">
        <f t="shared" si="0"/>
        <v>-0.9072071084987542</v>
      </c>
      <c r="E58" s="31">
        <f t="shared" si="1"/>
        <v>3.638608973534987</v>
      </c>
      <c r="F58" s="7" t="s">
        <v>74</v>
      </c>
      <c r="H58" s="40">
        <v>52</v>
      </c>
      <c r="I58" s="31">
        <f t="shared" si="11"/>
        <v>3.937050832988746E-17</v>
      </c>
      <c r="J58" s="31">
        <f t="shared" si="12"/>
        <v>1</v>
      </c>
      <c r="K58" s="31">
        <f t="shared" si="13"/>
        <v>-0.08360450221120586</v>
      </c>
      <c r="L58" s="31">
        <f t="shared" si="14"/>
        <v>-0.8581632605769051</v>
      </c>
      <c r="M58" s="31">
        <f t="shared" si="15"/>
        <v>0.5065235487181534</v>
      </c>
      <c r="N58" s="31">
        <f t="shared" si="10"/>
        <v>185.5643445183053</v>
      </c>
      <c r="O58" s="31">
        <f t="shared" si="16"/>
        <v>2.6342954648541164</v>
      </c>
      <c r="P58" s="31">
        <f t="shared" si="17"/>
        <v>-0.25543062781771275</v>
      </c>
      <c r="Q58" s="31">
        <f t="shared" si="18"/>
        <v>-2.621882489838859</v>
      </c>
    </row>
    <row r="59" spans="2:17" ht="12.75">
      <c r="B59" s="31">
        <v>106</v>
      </c>
      <c r="C59" s="31"/>
      <c r="D59" s="31">
        <f t="shared" si="0"/>
        <v>-1.0336400843137465</v>
      </c>
      <c r="E59" s="31">
        <f t="shared" si="1"/>
        <v>3.604731359768696</v>
      </c>
      <c r="F59" s="7" t="s">
        <v>74</v>
      </c>
      <c r="H59" s="40">
        <v>53</v>
      </c>
      <c r="I59" s="31">
        <f t="shared" si="11"/>
        <v>4.078889817540817E-17</v>
      </c>
      <c r="J59" s="31">
        <f t="shared" si="12"/>
        <v>1</v>
      </c>
      <c r="K59" s="31">
        <f t="shared" si="13"/>
        <v>-0.067765833208429</v>
      </c>
      <c r="L59" s="31">
        <f t="shared" si="14"/>
        <v>-0.8554977956989068</v>
      </c>
      <c r="M59" s="31">
        <f t="shared" si="15"/>
        <v>0.5133530105140895</v>
      </c>
      <c r="N59" s="31">
        <f t="shared" si="10"/>
        <v>184.52906593972943</v>
      </c>
      <c r="O59" s="31">
        <f t="shared" si="16"/>
        <v>2.616003304593787</v>
      </c>
      <c r="P59" s="31">
        <f t="shared" si="17"/>
        <v>-0.2065722251840663</v>
      </c>
      <c r="Q59" s="31">
        <f t="shared" si="18"/>
        <v>-2.607834581684221</v>
      </c>
    </row>
    <row r="60" spans="2:17" ht="12.75">
      <c r="B60" s="31">
        <v>108</v>
      </c>
      <c r="C60" s="31"/>
      <c r="D60" s="31">
        <f t="shared" si="0"/>
        <v>-1.1588137289060525</v>
      </c>
      <c r="E60" s="31">
        <f t="shared" si="1"/>
        <v>3.566461936106826</v>
      </c>
      <c r="F60" s="7" t="s">
        <v>74</v>
      </c>
      <c r="H60" s="40">
        <v>54</v>
      </c>
      <c r="I60" s="31">
        <f t="shared" si="11"/>
        <v>4.2226066648075185E-17</v>
      </c>
      <c r="J60" s="31">
        <f t="shared" si="12"/>
        <v>1</v>
      </c>
      <c r="K60" s="31">
        <f t="shared" si="13"/>
        <v>-0.051906522076394346</v>
      </c>
      <c r="L60" s="31">
        <f t="shared" si="14"/>
        <v>-0.8525717379049453</v>
      </c>
      <c r="M60" s="31">
        <f t="shared" si="15"/>
        <v>0.520026100010061</v>
      </c>
      <c r="N60" s="31">
        <f t="shared" si="10"/>
        <v>183.48399800633365</v>
      </c>
      <c r="O60" s="31">
        <f t="shared" si="16"/>
        <v>2.5980055751688678</v>
      </c>
      <c r="P60" s="31">
        <f t="shared" si="17"/>
        <v>-0.15788020284293497</v>
      </c>
      <c r="Q60" s="31">
        <f t="shared" si="18"/>
        <v>-2.5932039661698023</v>
      </c>
    </row>
    <row r="61" spans="2:17" ht="12.75">
      <c r="B61" s="31">
        <v>110</v>
      </c>
      <c r="C61" s="31"/>
      <c r="D61" s="31">
        <f t="shared" si="0"/>
        <v>-1.2825755374712577</v>
      </c>
      <c r="E61" s="31">
        <f t="shared" si="1"/>
        <v>3.5238473279471565</v>
      </c>
      <c r="F61" s="7" t="s">
        <v>74</v>
      </c>
      <c r="H61" s="40">
        <v>55</v>
      </c>
      <c r="I61" s="31">
        <f t="shared" si="11"/>
        <v>4.368157597244955E-17</v>
      </c>
      <c r="J61" s="31">
        <f t="shared" si="12"/>
        <v>1</v>
      </c>
      <c r="K61" s="31">
        <f t="shared" si="13"/>
        <v>-0.03603139971490554</v>
      </c>
      <c r="L61" s="31">
        <f t="shared" si="14"/>
        <v>-0.8493859785005704</v>
      </c>
      <c r="M61" s="31">
        <f t="shared" si="15"/>
        <v>0.5265407845183633</v>
      </c>
      <c r="N61" s="31">
        <f t="shared" si="10"/>
        <v>182.42906075241075</v>
      </c>
      <c r="O61" s="31">
        <f t="shared" si="16"/>
        <v>2.5803139765754315</v>
      </c>
      <c r="P61" s="31">
        <f t="shared" si="17"/>
        <v>-0.10935992289209094</v>
      </c>
      <c r="Q61" s="31">
        <f t="shared" si="18"/>
        <v>-2.57799546643813</v>
      </c>
    </row>
    <row r="62" spans="2:17" ht="12.75">
      <c r="B62" s="31">
        <v>112</v>
      </c>
      <c r="C62" s="31"/>
      <c r="D62" s="31">
        <f t="shared" si="0"/>
        <v>-1.4047747253096703</v>
      </c>
      <c r="E62" s="31">
        <f t="shared" si="1"/>
        <v>3.4769394546254526</v>
      </c>
      <c r="F62" s="7" t="s">
        <v>74</v>
      </c>
      <c r="H62" s="40">
        <v>56</v>
      </c>
      <c r="I62" s="31">
        <f t="shared" si="11"/>
        <v>4.515498278629123E-17</v>
      </c>
      <c r="J62" s="31">
        <f t="shared" si="12"/>
        <v>1</v>
      </c>
      <c r="K62" s="31">
        <f t="shared" si="13"/>
        <v>-0.020145301840019447</v>
      </c>
      <c r="L62" s="31">
        <f t="shared" si="14"/>
        <v>-0.8459414878989572</v>
      </c>
      <c r="M62" s="31">
        <f t="shared" si="15"/>
        <v>0.5328950796029862</v>
      </c>
      <c r="N62" s="31">
        <f t="shared" si="10"/>
        <v>181.36418732210618</v>
      </c>
      <c r="O62" s="31">
        <f t="shared" si="16"/>
        <v>2.562940292531804</v>
      </c>
      <c r="P62" s="31">
        <f t="shared" si="17"/>
        <v>-0.061016716262573184</v>
      </c>
      <c r="Q62" s="31">
        <f t="shared" si="18"/>
        <v>-2.562213867619083</v>
      </c>
    </row>
    <row r="63" spans="2:17" ht="12.75">
      <c r="B63" s="31">
        <v>114</v>
      </c>
      <c r="C63" s="31"/>
      <c r="D63" s="31">
        <f t="shared" si="0"/>
        <v>-1.525262411534251</v>
      </c>
      <c r="E63" s="31">
        <f t="shared" si="1"/>
        <v>3.4257954661597534</v>
      </c>
      <c r="F63" s="7" t="s">
        <v>74</v>
      </c>
      <c r="H63" s="40">
        <v>57</v>
      </c>
      <c r="I63" s="31">
        <f t="shared" si="11"/>
        <v>4.6645838275611507E-17</v>
      </c>
      <c r="J63" s="31">
        <f t="shared" si="12"/>
        <v>1</v>
      </c>
      <c r="K63" s="31">
        <f t="shared" si="13"/>
        <v>-0.004253067511041098</v>
      </c>
      <c r="L63" s="31">
        <f t="shared" si="14"/>
        <v>-0.8422393153253108</v>
      </c>
      <c r="M63" s="31">
        <f t="shared" si="15"/>
        <v>0.5390870496840915</v>
      </c>
      <c r="N63" s="31">
        <f t="shared" si="10"/>
        <v>180.2893248304755</v>
      </c>
      <c r="O63" s="31">
        <f t="shared" si="16"/>
        <v>2.5458963772741154</v>
      </c>
      <c r="P63" s="31">
        <f t="shared" si="17"/>
        <v>-0.012855884213741193</v>
      </c>
      <c r="Q63" s="31">
        <f t="shared" si="18"/>
        <v>-2.545863918212941</v>
      </c>
    </row>
    <row r="64" spans="2:17" ht="12.75">
      <c r="B64" s="31">
        <v>116</v>
      </c>
      <c r="C64" s="31"/>
      <c r="D64" s="31">
        <f t="shared" si="0"/>
        <v>-1.6438918004590406</v>
      </c>
      <c r="E64" s="31">
        <f t="shared" si="1"/>
        <v>3.370477673621876</v>
      </c>
      <c r="F64" s="7" t="s">
        <v>74</v>
      </c>
      <c r="H64" s="40">
        <v>58</v>
      </c>
      <c r="I64" s="31">
        <f t="shared" si="11"/>
        <v>4.815368831138611E-17</v>
      </c>
      <c r="J64" s="31">
        <f t="shared" si="12"/>
        <v>1</v>
      </c>
      <c r="K64" s="31">
        <f t="shared" si="13"/>
        <v>0.011640462343501579</v>
      </c>
      <c r="L64" s="31">
        <f t="shared" si="14"/>
        <v>-0.8382805884972608</v>
      </c>
      <c r="M64" s="31">
        <f t="shared" si="15"/>
        <v>0.5451148086276095</v>
      </c>
      <c r="N64" s="31">
        <f t="shared" si="10"/>
        <v>179.20443523329658</v>
      </c>
      <c r="O64" s="31">
        <f t="shared" si="16"/>
        <v>2.5291941411592433</v>
      </c>
      <c r="P64" s="31">
        <f t="shared" si="17"/>
        <v>0.03511730022820217</v>
      </c>
      <c r="Q64" s="31">
        <f t="shared" si="18"/>
        <v>-2.5289503314416684</v>
      </c>
    </row>
    <row r="65" spans="2:17" ht="12.75">
      <c r="B65" s="31">
        <v>118</v>
      </c>
      <c r="C65" s="31"/>
      <c r="D65" s="31">
        <f t="shared" si="0"/>
        <v>-1.7605183604470909</v>
      </c>
      <c r="E65" s="31">
        <f t="shared" si="1"/>
        <v>3.311053473220976</v>
      </c>
      <c r="F65" s="7" t="s">
        <v>74</v>
      </c>
      <c r="H65" s="40">
        <v>59</v>
      </c>
      <c r="I65" s="31">
        <f t="shared" si="11"/>
        <v>4.9678073587887256E-17</v>
      </c>
      <c r="J65" s="31">
        <f t="shared" si="12"/>
        <v>1</v>
      </c>
      <c r="K65" s="31">
        <f t="shared" si="13"/>
        <v>0.02753044640045077</v>
      </c>
      <c r="L65" s="31">
        <f t="shared" si="14"/>
        <v>-0.8340665132813485</v>
      </c>
      <c r="M65" s="31">
        <f t="shared" si="15"/>
        <v>0.550976520319774</v>
      </c>
      <c r="N65" s="31">
        <f t="shared" si="10"/>
        <v>178.10949620031118</v>
      </c>
      <c r="O65" s="31">
        <f t="shared" si="16"/>
        <v>2.5128455350465098</v>
      </c>
      <c r="P65" s="31">
        <f t="shared" si="17"/>
        <v>0.08289759088521623</v>
      </c>
      <c r="Q65" s="31">
        <f t="shared" si="18"/>
        <v>-2.511477786568818</v>
      </c>
    </row>
    <row r="66" spans="2:17" ht="12.75">
      <c r="B66" s="31">
        <v>120</v>
      </c>
      <c r="C66" s="31"/>
      <c r="D66" s="31">
        <f t="shared" si="0"/>
        <v>-1.8749999999999991</v>
      </c>
      <c r="E66" s="31">
        <f t="shared" si="1"/>
        <v>3.247595264191645</v>
      </c>
      <c r="F66" s="7" t="s">
        <v>74</v>
      </c>
      <c r="H66" s="40">
        <v>60</v>
      </c>
      <c r="I66" s="31">
        <f t="shared" si="11"/>
        <v>5.121852976259266E-17</v>
      </c>
      <c r="J66" s="31">
        <f t="shared" si="12"/>
        <v>1</v>
      </c>
      <c r="K66" s="31">
        <f t="shared" si="13"/>
        <v>0.04341204441673263</v>
      </c>
      <c r="L66" s="31">
        <f t="shared" si="14"/>
        <v>-0.8295983733257066</v>
      </c>
      <c r="M66" s="31">
        <f t="shared" si="15"/>
        <v>0.5566703992264194</v>
      </c>
      <c r="N66" s="31">
        <f t="shared" si="10"/>
        <v>177.0045019859504</v>
      </c>
      <c r="O66" s="31">
        <f t="shared" si="16"/>
        <v>2.496862533436408</v>
      </c>
      <c r="P66" s="31">
        <f t="shared" si="17"/>
        <v>0.1304797670930199</v>
      </c>
      <c r="Q66" s="31">
        <f t="shared" si="18"/>
        <v>-2.493450930188487</v>
      </c>
    </row>
    <row r="67" spans="2:17" ht="12.75">
      <c r="B67" s="31">
        <v>122</v>
      </c>
      <c r="C67" s="31"/>
      <c r="D67" s="31">
        <f t="shared" si="0"/>
        <v>-1.987197240874518</v>
      </c>
      <c r="E67" s="31">
        <f t="shared" si="1"/>
        <v>3.180180360586598</v>
      </c>
      <c r="F67" s="7" t="s">
        <v>74</v>
      </c>
      <c r="H67" s="40">
        <v>61</v>
      </c>
      <c r="I67" s="31">
        <f t="shared" si="11"/>
        <v>5.277458759762881E-17</v>
      </c>
      <c r="J67" s="31">
        <f t="shared" si="12"/>
        <v>1</v>
      </c>
      <c r="K67" s="31">
        <f t="shared" si="13"/>
        <v>0.059280418703743565</v>
      </c>
      <c r="L67" s="31">
        <f t="shared" si="14"/>
        <v>-0.8248775296690499</v>
      </c>
      <c r="M67" s="31">
        <f t="shared" si="15"/>
        <v>0.5621947109368733</v>
      </c>
      <c r="N67" s="31">
        <f t="shared" si="10"/>
        <v>175.88946429097626</v>
      </c>
      <c r="O67" s="31">
        <f t="shared" si="16"/>
        <v>2.481257116352559</v>
      </c>
      <c r="P67" s="31">
        <f t="shared" si="17"/>
        <v>0.17785863241452213</v>
      </c>
      <c r="Q67" s="31">
        <f t="shared" si="18"/>
        <v>-2.474874377483805</v>
      </c>
    </row>
    <row r="68" spans="2:17" ht="12.75">
      <c r="B68" s="31">
        <v>124</v>
      </c>
      <c r="C68" s="31"/>
      <c r="D68" s="31">
        <f t="shared" si="0"/>
        <v>-2.0969733880153</v>
      </c>
      <c r="E68" s="31">
        <f t="shared" si="1"/>
        <v>3.1088908970814066</v>
      </c>
      <c r="F68" s="7" t="s">
        <v>74</v>
      </c>
      <c r="H68" s="40">
        <v>62</v>
      </c>
      <c r="I68" s="31">
        <f t="shared" si="11"/>
        <v>5.434577310270525E-17</v>
      </c>
      <c r="J68" s="31">
        <f t="shared" si="12"/>
        <v>1</v>
      </c>
      <c r="K68" s="31">
        <f t="shared" si="13"/>
        <v>0.07513073560095496</v>
      </c>
      <c r="L68" s="31">
        <f t="shared" si="14"/>
        <v>-0.819905420326088</v>
      </c>
      <c r="M68" s="31">
        <f t="shared" si="15"/>
        <v>0.5675477726922734</v>
      </c>
      <c r="N68" s="31">
        <f t="shared" si="10"/>
        <v>174.7644131078622</v>
      </c>
      <c r="O68" s="31">
        <f t="shared" si="16"/>
        <v>2.4660412499621547</v>
      </c>
      <c r="P68" s="31">
        <f t="shared" si="17"/>
        <v>0.22502901339836462</v>
      </c>
      <c r="Q68" s="31">
        <f t="shared" si="18"/>
        <v>-2.455752713455462</v>
      </c>
    </row>
    <row r="69" spans="2:17" ht="12.75">
      <c r="B69" s="31">
        <v>126</v>
      </c>
      <c r="C69" s="31"/>
      <c r="D69" s="31">
        <f t="shared" si="0"/>
        <v>-2.2041946960967738</v>
      </c>
      <c r="E69" s="31">
        <f t="shared" si="1"/>
        <v>3.033813728906053</v>
      </c>
      <c r="F69" s="7" t="s">
        <v>74</v>
      </c>
      <c r="H69" s="40">
        <v>63</v>
      </c>
      <c r="I69" s="31">
        <f t="shared" si="11"/>
        <v>5.593160767949675E-17</v>
      </c>
      <c r="J69" s="31">
        <f t="shared" si="12"/>
        <v>1</v>
      </c>
      <c r="K69" s="31">
        <f t="shared" si="13"/>
        <v>0.09095816694829456</v>
      </c>
      <c r="L69" s="31">
        <f t="shared" si="14"/>
        <v>-0.8146835598494924</v>
      </c>
      <c r="M69" s="31">
        <f t="shared" si="15"/>
        <v>0.5727279538981527</v>
      </c>
      <c r="N69" s="31">
        <f t="shared" si="10"/>
        <v>173.62939754214693</v>
      </c>
      <c r="O69" s="31">
        <f t="shared" si="16"/>
        <v>2.451226865940243</v>
      </c>
      <c r="P69" s="31">
        <f t="shared" si="17"/>
        <v>0.27198575838001104</v>
      </c>
      <c r="Q69" s="31">
        <f t="shared" si="18"/>
        <v>-2.4360904941207906</v>
      </c>
    </row>
    <row r="70" spans="2:17" ht="12.75">
      <c r="B70" s="31">
        <v>128</v>
      </c>
      <c r="C70" s="31"/>
      <c r="D70" s="31">
        <f t="shared" si="0"/>
        <v>-2.3087305324712184</v>
      </c>
      <c r="E70" s="31">
        <f t="shared" si="1"/>
        <v>2.9550403260252076</v>
      </c>
      <c r="F70" s="7" t="s">
        <v>74</v>
      </c>
      <c r="H70" s="40">
        <v>64</v>
      </c>
      <c r="I70" s="31">
        <f aca="true" t="shared" si="19" ref="I70:I101">(X_2*X_S+Y_2*Y_S+Z_2*Z_S)*(1-COS(RADIANS(H70)))</f>
        <v>5.753160826742886E-17</v>
      </c>
      <c r="J70" s="31">
        <f aca="true" t="shared" si="20" ref="J70:J101">SIGN(COS(RADIANS(H70))*Z_S+I70*Z_2+(SIN(RADIANS(H70))*(X_2*Y_S-Y_2*X_S)))</f>
        <v>1</v>
      </c>
      <c r="K70" s="31">
        <f aca="true" t="shared" si="21" ref="K70:K101">(COS(RADIANS(H70))*X_S+I70*X_2+(SIN(RADIANS(H70))*(Y_2*Z_S-Z_2*Y_S)))*J70</f>
        <v>0.10675789155685017</v>
      </c>
      <c r="L70" s="31">
        <f aca="true" t="shared" si="22" ref="L70:L101">(COS(RADIANS(H70))*Y_S+I70*Y_2-(SIN(RADIANS(H70))*(X_2*Z_S-Z_2*X_S)))*J70</f>
        <v>-0.80921353886855</v>
      </c>
      <c r="M70" s="31">
        <f aca="true" t="shared" si="23" ref="M70:M101">(COS(RADIANS(H70))*Z_S+I70*Z_2+(SIN(RADIANS(H70))*(X_2*Y_S-Y_2*X_S)))*J70</f>
        <v>0.5777336766211344</v>
      </c>
      <c r="N70" s="31">
        <f t="shared" si="10"/>
        <v>172.48448660144413</v>
      </c>
      <c r="O70" s="31">
        <f t="shared" si="16"/>
        <v>2.436825839594471</v>
      </c>
      <c r="P70" s="31">
        <f t="shared" si="17"/>
        <v>0.31872373632292966</v>
      </c>
      <c r="Q70" s="31">
        <f t="shared" si="18"/>
        <v>-2.4158922476840003</v>
      </c>
    </row>
    <row r="71" spans="2:17" ht="12.75">
      <c r="B71" s="31">
        <v>130</v>
      </c>
      <c r="C71" s="31"/>
      <c r="D71" s="31">
        <f aca="true" t="shared" si="24" ref="D71:D134">+Xcenter+Radius*COS(RADIANS(B71))</f>
        <v>-2.4104535363245225</v>
      </c>
      <c r="E71" s="31">
        <f aca="true" t="shared" si="25" ref="E71:E134">+Ycenter+Radius*SIN(RADIANS(B71))</f>
        <v>2.8726666616961674</v>
      </c>
      <c r="F71" s="7" t="s">
        <v>74</v>
      </c>
      <c r="H71" s="40">
        <v>65</v>
      </c>
      <c r="I71" s="31">
        <f t="shared" si="19"/>
        <v>5.914528749082295E-17</v>
      </c>
      <c r="J71" s="31">
        <f t="shared" si="20"/>
        <v>1</v>
      </c>
      <c r="K71" s="31">
        <f t="shared" si="21"/>
        <v>0.1225250966774506</v>
      </c>
      <c r="L71" s="31">
        <f t="shared" si="22"/>
        <v>-0.8034970236046406</v>
      </c>
      <c r="M71" s="31">
        <f t="shared" si="23"/>
        <v>0.5825634160695854</v>
      </c>
      <c r="N71" s="31">
        <f t="shared" si="10"/>
        <v>171.32976994329215</v>
      </c>
      <c r="O71" s="31">
        <f t="shared" si="16"/>
        <v>2.422849966779094</v>
      </c>
      <c r="P71" s="31">
        <f t="shared" si="17"/>
        <v>0.365237835697402</v>
      </c>
      <c r="Q71" s="31">
        <f t="shared" si="18"/>
        <v>-2.3951624756781187</v>
      </c>
    </row>
    <row r="72" spans="2:17" ht="12.75">
      <c r="B72" s="31">
        <v>132</v>
      </c>
      <c r="C72" s="31"/>
      <c r="D72" s="31">
        <f t="shared" si="24"/>
        <v>-2.509239773845718</v>
      </c>
      <c r="E72" s="31">
        <f t="shared" si="25"/>
        <v>2.7867930955402285</v>
      </c>
      <c r="F72" s="7" t="s">
        <v>74</v>
      </c>
      <c r="H72" s="40">
        <v>66</v>
      </c>
      <c r="I72" s="31">
        <f t="shared" si="19"/>
        <v>6.077215380735553E-17</v>
      </c>
      <c r="J72" s="31">
        <f t="shared" si="20"/>
        <v>1</v>
      </c>
      <c r="K72" s="31">
        <f t="shared" si="21"/>
        <v>0.1382549794666758</v>
      </c>
      <c r="L72" s="31">
        <f t="shared" si="22"/>
        <v>-0.7975357553636908</v>
      </c>
      <c r="M72" s="31">
        <f t="shared" si="23"/>
        <v>0.5872157010580831</v>
      </c>
      <c r="N72" s="31">
        <f t="shared" si="10"/>
        <v>170.16535857259163</v>
      </c>
      <c r="O72" s="31">
        <f aca="true" t="shared" si="26" ref="O72:O103">IF(UPPER(Projection)="EQUAL AREA",SQRT(2)*(SIN(ACOS(ABS(M72))/2))*Radius,TAN(ACOS(ABS(M72))/2)*Radius)</f>
        <v>2.4093109396403585</v>
      </c>
      <c r="P72" s="31">
        <f aca="true" t="shared" si="27" ref="P72:P103">+Xcenter+SIN(RADIANS(N72))*O72</f>
        <v>0.41152296339477246</v>
      </c>
      <c r="Q72" s="31">
        <f aca="true" t="shared" si="28" ref="Q72:Q103">Ycenter+COS(RADIANS(N72))*O72</f>
        <v>-2.373905654079263</v>
      </c>
    </row>
    <row r="73" spans="2:17" ht="12.75">
      <c r="B73" s="31">
        <v>134</v>
      </c>
      <c r="C73" s="31"/>
      <c r="D73" s="31">
        <f t="shared" si="24"/>
        <v>-2.60496888922124</v>
      </c>
      <c r="E73" s="31">
        <f t="shared" si="25"/>
        <v>2.6975242512699413</v>
      </c>
      <c r="F73" s="7" t="s">
        <v>74</v>
      </c>
      <c r="H73" s="40">
        <v>67</v>
      </c>
      <c r="I73" s="31">
        <f t="shared" si="19"/>
        <v>6.241171165778677E-17</v>
      </c>
      <c r="J73" s="31">
        <f t="shared" si="20"/>
        <v>1</v>
      </c>
      <c r="K73" s="31">
        <f t="shared" si="21"/>
        <v>0.15394274844984945</v>
      </c>
      <c r="L73" s="31">
        <f t="shared" si="22"/>
        <v>-0.791331550005755</v>
      </c>
      <c r="M73" s="31">
        <f t="shared" si="23"/>
        <v>0.5916891144555524</v>
      </c>
      <c r="N73" s="31">
        <f aca="true" t="shared" si="29" ref="N73:N136">IF(AND(K73&lt;0,L73&gt;=0),450-DEGREES(ATAN2(K73,L73)),90-DEGREES(ATAN2(K73,L73)))</f>
        <v>168.9913854790334</v>
      </c>
      <c r="O73" s="31">
        <f t="shared" si="26"/>
        <v>2.3962203212494453</v>
      </c>
      <c r="P73" s="31">
        <f t="shared" si="27"/>
        <v>0.4575740436748076</v>
      </c>
      <c r="Q73" s="31">
        <f t="shared" si="28"/>
        <v>-2.3521262343938685</v>
      </c>
    </row>
    <row r="74" spans="2:17" ht="12.75">
      <c r="B74" s="31">
        <v>136</v>
      </c>
      <c r="C74" s="31"/>
      <c r="D74" s="31">
        <f t="shared" si="24"/>
        <v>-2.6975242512699418</v>
      </c>
      <c r="E74" s="31">
        <f t="shared" si="25"/>
        <v>2.6049688892212393</v>
      </c>
      <c r="F74" s="7" t="s">
        <v>74</v>
      </c>
      <c r="H74" s="40">
        <v>68</v>
      </c>
      <c r="I74" s="31">
        <f t="shared" si="19"/>
        <v>6.406346161691266E-17</v>
      </c>
      <c r="J74" s="31">
        <f t="shared" si="20"/>
        <v>1</v>
      </c>
      <c r="K74" s="31">
        <f t="shared" si="21"/>
        <v>0.1695836249805684</v>
      </c>
      <c r="L74" s="31">
        <f t="shared" si="22"/>
        <v>-0.7848862973918864</v>
      </c>
      <c r="M74" s="31">
        <f t="shared" si="23"/>
        <v>0.5959822936169372</v>
      </c>
      <c r="N74" s="31">
        <f t="shared" si="29"/>
        <v>167.80800620466601</v>
      </c>
      <c r="O74" s="31">
        <f t="shared" si="26"/>
        <v>2.3835895191940706</v>
      </c>
      <c r="P74" s="31">
        <f t="shared" si="27"/>
        <v>0.5033860171441259</v>
      </c>
      <c r="Q74" s="31">
        <f t="shared" si="28"/>
        <v>-2.32982864471952</v>
      </c>
    </row>
    <row r="75" spans="2:17" ht="12.75">
      <c r="B75" s="31">
        <v>138</v>
      </c>
      <c r="C75" s="31"/>
      <c r="D75" s="31">
        <f t="shared" si="24"/>
        <v>-2.7867930955402276</v>
      </c>
      <c r="E75" s="31">
        <f t="shared" si="25"/>
        <v>2.5092397738457186</v>
      </c>
      <c r="F75" s="7" t="s">
        <v>74</v>
      </c>
      <c r="H75" s="40">
        <v>69</v>
      </c>
      <c r="I75" s="31">
        <f t="shared" si="19"/>
        <v>6.572690054569479E-17</v>
      </c>
      <c r="J75" s="31">
        <f t="shared" si="20"/>
        <v>1</v>
      </c>
      <c r="K75" s="31">
        <f t="shared" si="21"/>
        <v>0.1851728446963246</v>
      </c>
      <c r="L75" s="31">
        <f t="shared" si="22"/>
        <v>-0.778201960808468</v>
      </c>
      <c r="M75" s="31">
        <f t="shared" si="23"/>
        <v>0.6000939307982762</v>
      </c>
      <c r="N75" s="31">
        <f t="shared" si="29"/>
        <v>166.61539933162555</v>
      </c>
      <c r="O75" s="31">
        <f t="shared" si="26"/>
        <v>2.371429758215335</v>
      </c>
      <c r="P75" s="31">
        <f t="shared" si="27"/>
        <v>0.5489538397635694</v>
      </c>
      <c r="Q75" s="31">
        <f t="shared" si="28"/>
        <v>-2.30701729078004</v>
      </c>
    </row>
    <row r="76" spans="2:17" ht="12.75">
      <c r="B76" s="31">
        <v>140</v>
      </c>
      <c r="C76" s="31"/>
      <c r="D76" s="31">
        <f t="shared" si="24"/>
        <v>-2.872666661696167</v>
      </c>
      <c r="E76" s="31">
        <f t="shared" si="25"/>
        <v>2.410453536324523</v>
      </c>
      <c r="F76" s="7" t="s">
        <v>74</v>
      </c>
      <c r="H76" s="40">
        <v>70</v>
      </c>
      <c r="I76" s="31">
        <f t="shared" si="19"/>
        <v>6.740152174452138E-17</v>
      </c>
      <c r="J76" s="31">
        <f t="shared" si="20"/>
        <v>1</v>
      </c>
      <c r="K76" s="31">
        <f t="shared" si="21"/>
        <v>0.20070565896977677</v>
      </c>
      <c r="L76" s="31">
        <f t="shared" si="22"/>
        <v>-0.7712805763691757</v>
      </c>
      <c r="M76" s="31">
        <f t="shared" si="23"/>
        <v>0.6040227735550537</v>
      </c>
      <c r="N76" s="31">
        <f t="shared" si="29"/>
        <v>165.41376688004925</v>
      </c>
      <c r="O76" s="31">
        <f t="shared" si="26"/>
        <v>2.3597520519923396</v>
      </c>
      <c r="P76" s="31">
        <f t="shared" si="27"/>
        <v>0.5942724818826024</v>
      </c>
      <c r="Q76" s="31">
        <f t="shared" si="28"/>
        <v>-2.2836965569355203</v>
      </c>
    </row>
    <row r="77" spans="2:17" ht="12.75">
      <c r="B77" s="31">
        <v>142</v>
      </c>
      <c r="C77" s="31"/>
      <c r="D77" s="31">
        <f t="shared" si="24"/>
        <v>-2.955040326025207</v>
      </c>
      <c r="E77" s="31">
        <f t="shared" si="25"/>
        <v>2.308730532471219</v>
      </c>
      <c r="F77" s="7" t="s">
        <v>74</v>
      </c>
      <c r="H77" s="40">
        <v>71</v>
      </c>
      <c r="I77" s="31">
        <f t="shared" si="19"/>
        <v>6.908681510755285E-17</v>
      </c>
      <c r="J77" s="31">
        <f t="shared" si="20"/>
        <v>1</v>
      </c>
      <c r="K77" s="31">
        <f t="shared" si="21"/>
        <v>0.21617733635522743</v>
      </c>
      <c r="L77" s="31">
        <f t="shared" si="22"/>
        <v>-0.7641242523947587</v>
      </c>
      <c r="M77" s="31">
        <f t="shared" si="23"/>
        <v>0.6077676251237063</v>
      </c>
      <c r="N77" s="31">
        <f t="shared" si="29"/>
        <v>164.20333460635226</v>
      </c>
      <c r="O77" s="31">
        <f t="shared" si="26"/>
        <v>2.3485671741932097</v>
      </c>
      <c r="P77" s="31">
        <f t="shared" si="27"/>
        <v>0.6393369272987416</v>
      </c>
      <c r="Q77" s="31">
        <f t="shared" si="28"/>
        <v>-2.2598708071679856</v>
      </c>
    </row>
    <row r="78" spans="2:17" ht="12.75">
      <c r="B78" s="31">
        <v>144</v>
      </c>
      <c r="C78" s="31"/>
      <c r="D78" s="31">
        <f t="shared" si="24"/>
        <v>-3.0338137289060527</v>
      </c>
      <c r="E78" s="31">
        <f t="shared" si="25"/>
        <v>2.2041946960967747</v>
      </c>
      <c r="F78" s="7" t="s">
        <v>74</v>
      </c>
      <c r="H78" s="40">
        <v>72</v>
      </c>
      <c r="I78" s="31">
        <f t="shared" si="19"/>
        <v>7.078226727810499E-17</v>
      </c>
      <c r="J78" s="31">
        <f t="shared" si="20"/>
        <v>1</v>
      </c>
      <c r="K78" s="31">
        <f t="shared" si="21"/>
        <v>0.23158316402986748</v>
      </c>
      <c r="L78" s="31">
        <f t="shared" si="22"/>
        <v>-0.7567351687708243</v>
      </c>
      <c r="M78" s="31">
        <f t="shared" si="23"/>
        <v>0.611327344786169</v>
      </c>
      <c r="N78" s="31">
        <f t="shared" si="29"/>
        <v>162.98435219235927</v>
      </c>
      <c r="O78" s="31">
        <f t="shared" si="26"/>
        <v>2.337885628927236</v>
      </c>
      <c r="P78" s="31">
        <f t="shared" si="27"/>
        <v>0.6841421723402437</v>
      </c>
      <c r="Q78" s="31">
        <f t="shared" si="28"/>
        <v>-2.2355443860433795</v>
      </c>
    </row>
    <row r="79" spans="2:17" ht="12.75">
      <c r="B79" s="31">
        <v>146</v>
      </c>
      <c r="C79" s="31"/>
      <c r="D79" s="31">
        <f t="shared" si="24"/>
        <v>-3.108890897081406</v>
      </c>
      <c r="E79" s="31">
        <f t="shared" si="25"/>
        <v>2.096973388015301</v>
      </c>
      <c r="F79" s="7" t="s">
        <v>74</v>
      </c>
      <c r="H79" s="40">
        <v>73</v>
      </c>
      <c r="I79" s="31">
        <f t="shared" si="19"/>
        <v>7.248736180502244E-17</v>
      </c>
      <c r="J79" s="31">
        <f t="shared" si="20"/>
        <v>1</v>
      </c>
      <c r="K79" s="31">
        <f t="shared" si="21"/>
        <v>0.24691844922934741</v>
      </c>
      <c r="L79" s="31">
        <f t="shared" si="22"/>
        <v>-0.7491155762838241</v>
      </c>
      <c r="M79" s="31">
        <f t="shared" si="23"/>
        <v>0.6147008482173489</v>
      </c>
      <c r="N79" s="31">
        <f t="shared" si="29"/>
        <v>161.75709331627735</v>
      </c>
      <c r="O79" s="31">
        <f t="shared" si="26"/>
        <v>2.3277176207486017</v>
      </c>
      <c r="P79" s="31">
        <f t="shared" si="27"/>
        <v>0.7286832249702123</v>
      </c>
      <c r="Q79" s="31">
        <f t="shared" si="28"/>
        <v>-2.210721619650593</v>
      </c>
    </row>
    <row r="80" spans="2:17" ht="12.75">
      <c r="B80" s="31">
        <v>148</v>
      </c>
      <c r="C80" s="31"/>
      <c r="D80" s="31">
        <f t="shared" si="24"/>
        <v>-3.1801803605865975</v>
      </c>
      <c r="E80" s="31">
        <f t="shared" si="25"/>
        <v>1.9871972408745184</v>
      </c>
      <c r="F80" s="7" t="s">
        <v>74</v>
      </c>
      <c r="H80" s="40">
        <v>74</v>
      </c>
      <c r="I80" s="31">
        <f t="shared" si="19"/>
        <v>7.420157929999471E-17</v>
      </c>
      <c r="J80" s="31">
        <f t="shared" si="20"/>
        <v>1</v>
      </c>
      <c r="K80" s="31">
        <f t="shared" si="21"/>
        <v>0.26217852067723957</v>
      </c>
      <c r="L80" s="31">
        <f t="shared" si="22"/>
        <v>-0.7412677959354423</v>
      </c>
      <c r="M80" s="31">
        <f t="shared" si="23"/>
        <v>0.617887107815421</v>
      </c>
      <c r="N80" s="31">
        <f t="shared" si="29"/>
        <v>160.5218555971705</v>
      </c>
      <c r="O80" s="31">
        <f t="shared" si="26"/>
        <v>2.318073024377283</v>
      </c>
      <c r="P80" s="31">
        <f t="shared" si="27"/>
        <v>0.7729551039104023</v>
      </c>
      <c r="Q80" s="31">
        <f t="shared" si="28"/>
        <v>-2.1854068165182663</v>
      </c>
    </row>
    <row r="81" spans="2:17" ht="12.75">
      <c r="B81" s="31">
        <v>150</v>
      </c>
      <c r="C81" s="31"/>
      <c r="D81" s="31">
        <f t="shared" si="24"/>
        <v>-3.247595264191645</v>
      </c>
      <c r="E81" s="31">
        <f t="shared" si="25"/>
        <v>1.8749999999999998</v>
      </c>
      <c r="F81" s="7" t="s">
        <v>74</v>
      </c>
      <c r="H81" s="40">
        <v>75</v>
      </c>
      <c r="I81" s="31">
        <f t="shared" si="19"/>
        <v>7.59243975957668E-17</v>
      </c>
      <c r="J81" s="31">
        <f t="shared" si="20"/>
        <v>1</v>
      </c>
      <c r="K81" s="31">
        <f t="shared" si="21"/>
        <v>0.27735873000795286</v>
      </c>
      <c r="L81" s="31">
        <f t="shared" si="22"/>
        <v>-0.7331942182355963</v>
      </c>
      <c r="M81" s="31">
        <f t="shared" si="23"/>
        <v>0.6208851530148457</v>
      </c>
      <c r="N81" s="31">
        <f t="shared" si="29"/>
        <v>159.2789604054595</v>
      </c>
      <c r="O81" s="31">
        <f t="shared" si="26"/>
        <v>2.3089613543168563</v>
      </c>
      <c r="P81" s="31">
        <f t="shared" si="27"/>
        <v>0.8169528377830677</v>
      </c>
      <c r="Q81" s="31">
        <f t="shared" si="28"/>
        <v>-2.1596042685100723</v>
      </c>
    </row>
    <row r="82" spans="2:17" ht="12.75">
      <c r="B82" s="31">
        <v>152</v>
      </c>
      <c r="C82" s="31"/>
      <c r="D82" s="31">
        <f t="shared" si="24"/>
        <v>-3.3110534732209764</v>
      </c>
      <c r="E82" s="31">
        <f t="shared" si="25"/>
        <v>1.7605183604470902</v>
      </c>
      <c r="F82" s="7" t="s">
        <v>74</v>
      </c>
      <c r="H82" s="40">
        <v>76</v>
      </c>
      <c r="I82" s="31">
        <f t="shared" si="19"/>
        <v>7.765529190519651E-17</v>
      </c>
      <c r="J82" s="31">
        <f t="shared" si="20"/>
        <v>1</v>
      </c>
      <c r="K82" s="31">
        <f t="shared" si="21"/>
        <v>0.29245445318267144</v>
      </c>
      <c r="L82" s="31">
        <f t="shared" si="22"/>
        <v>-0.7248973024742638</v>
      </c>
      <c r="M82" s="31">
        <f t="shared" si="23"/>
        <v>0.6236940705820124</v>
      </c>
      <c r="N82" s="31">
        <f t="shared" si="29"/>
        <v>158.02875253302466</v>
      </c>
      <c r="O82" s="31">
        <f t="shared" si="26"/>
        <v>2.3003917345618445</v>
      </c>
      <c r="P82" s="31">
        <f t="shared" si="27"/>
        <v>0.8606714642692005</v>
      </c>
      <c r="Q82" s="31">
        <f t="shared" si="28"/>
        <v>-2.1333182516992544</v>
      </c>
    </row>
    <row r="83" spans="2:17" ht="12.75">
      <c r="B83" s="31">
        <v>154</v>
      </c>
      <c r="C83" s="31"/>
      <c r="D83" s="31">
        <f t="shared" si="24"/>
        <v>-3.3704776736218762</v>
      </c>
      <c r="E83" s="31">
        <f t="shared" si="25"/>
        <v>1.64389180045904</v>
      </c>
      <c r="F83" s="7" t="s">
        <v>74</v>
      </c>
      <c r="H83" s="40">
        <v>77</v>
      </c>
      <c r="I83" s="31">
        <f t="shared" si="19"/>
        <v>7.939373498110965E-17</v>
      </c>
      <c r="J83" s="31">
        <f t="shared" si="20"/>
        <v>1</v>
      </c>
      <c r="K83" s="31">
        <f t="shared" si="21"/>
        <v>0.30746109189788073</v>
      </c>
      <c r="L83" s="31">
        <f t="shared" si="22"/>
        <v>-0.7163795759723597</v>
      </c>
      <c r="M83" s="31">
        <f t="shared" si="23"/>
        <v>0.6263130048934199</v>
      </c>
      <c r="N83" s="31">
        <f t="shared" si="29"/>
        <v>156.77159971772488</v>
      </c>
      <c r="O83" s="31">
        <f t="shared" si="26"/>
        <v>2.292372868598449</v>
      </c>
      <c r="P83" s="31">
        <f t="shared" si="27"/>
        <v>0.9041060292816041</v>
      </c>
      <c r="Q83" s="31">
        <f t="shared" si="28"/>
        <v>-2.1065530272231303</v>
      </c>
    </row>
    <row r="84" spans="2:17" ht="12.75">
      <c r="B84" s="31">
        <v>156</v>
      </c>
      <c r="C84" s="31"/>
      <c r="D84" s="31">
        <f t="shared" si="24"/>
        <v>-3.425795466159753</v>
      </c>
      <c r="E84" s="31">
        <f t="shared" si="25"/>
        <v>1.5252624115342517</v>
      </c>
      <c r="F84" s="7" t="s">
        <v>74</v>
      </c>
      <c r="H84" s="40">
        <v>78</v>
      </c>
      <c r="I84" s="31">
        <f t="shared" si="19"/>
        <v>8.11391972769046E-17</v>
      </c>
      <c r="J84" s="31">
        <f t="shared" si="20"/>
        <v>1</v>
      </c>
      <c r="K84" s="31">
        <f t="shared" si="21"/>
        <v>0.3223740749860552</v>
      </c>
      <c r="L84" s="31">
        <f t="shared" si="22"/>
        <v>-0.7076436333118898</v>
      </c>
      <c r="M84" s="31">
        <f t="shared" si="23"/>
        <v>0.6287411581963064</v>
      </c>
      <c r="N84" s="31">
        <f t="shared" si="29"/>
        <v>155.5078920185608</v>
      </c>
      <c r="O84" s="31">
        <f t="shared" si="26"/>
        <v>2.2849130099118526</v>
      </c>
      <c r="P84" s="31">
        <f t="shared" si="27"/>
        <v>0.9472515861512667</v>
      </c>
      <c r="Q84" s="31">
        <f t="shared" si="28"/>
        <v>-2.0793128421183646</v>
      </c>
    </row>
    <row r="85" spans="2:17" ht="12.75">
      <c r="B85" s="31">
        <v>158</v>
      </c>
      <c r="C85" s="31"/>
      <c r="D85" s="31">
        <f t="shared" si="24"/>
        <v>-3.4769394546254526</v>
      </c>
      <c r="E85" s="31">
        <f t="shared" si="25"/>
        <v>1.404774725309671</v>
      </c>
      <c r="F85" s="7" t="s">
        <v>74</v>
      </c>
      <c r="H85" s="40">
        <v>79</v>
      </c>
      <c r="I85" s="31">
        <f t="shared" si="19"/>
        <v>8.28911471078574E-17</v>
      </c>
      <c r="J85" s="31">
        <f t="shared" si="20"/>
        <v>1</v>
      </c>
      <c r="K85" s="31">
        <f t="shared" si="21"/>
        <v>0.3371888598080814</v>
      </c>
      <c r="L85" s="31">
        <f t="shared" si="22"/>
        <v>-0.6986921355456153</v>
      </c>
      <c r="M85" s="31">
        <f t="shared" si="23"/>
        <v>0.630977790851654</v>
      </c>
      <c r="N85" s="31">
        <f t="shared" si="29"/>
        <v>154.23804103928273</v>
      </c>
      <c r="O85" s="31">
        <f t="shared" si="26"/>
        <v>2.278019933220212</v>
      </c>
      <c r="P85" s="31">
        <f t="shared" si="27"/>
        <v>0.9901031948255505</v>
      </c>
      <c r="Q85" s="31">
        <f t="shared" si="28"/>
        <v>-2.0516019301377293</v>
      </c>
    </row>
    <row r="86" spans="2:17" ht="12.75">
      <c r="B86" s="31">
        <v>160</v>
      </c>
      <c r="C86" s="31"/>
      <c r="D86" s="31">
        <f t="shared" si="24"/>
        <v>-3.523847327947156</v>
      </c>
      <c r="E86" s="31">
        <f t="shared" si="25"/>
        <v>1.2825755374712582</v>
      </c>
      <c r="F86" s="7" t="s">
        <v>74</v>
      </c>
      <c r="H86" s="40">
        <v>80</v>
      </c>
      <c r="I86" s="31">
        <f t="shared" si="19"/>
        <v>8.464905081307803E-17</v>
      </c>
      <c r="J86" s="31">
        <f t="shared" si="20"/>
        <v>1</v>
      </c>
      <c r="K86" s="31">
        <f t="shared" si="21"/>
        <v>0.35190093363698816</v>
      </c>
      <c r="L86" s="31">
        <f t="shared" si="22"/>
        <v>-0.6895278093864707</v>
      </c>
      <c r="M86" s="31">
        <f t="shared" si="23"/>
        <v>0.6330222215594891</v>
      </c>
      <c r="N86" s="31">
        <f t="shared" si="29"/>
        <v>152.9624789999601</v>
      </c>
      <c r="O86" s="31">
        <f t="shared" si="26"/>
        <v>2.27170090665996</v>
      </c>
      <c r="P86" s="31">
        <f t="shared" si="27"/>
        <v>1.0326559210767476</v>
      </c>
      <c r="Q86" s="31">
        <f t="shared" si="28"/>
        <v>-2.023424512549163</v>
      </c>
    </row>
    <row r="87" spans="2:17" ht="12.75">
      <c r="B87" s="31">
        <v>162</v>
      </c>
      <c r="C87" s="31"/>
      <c r="D87" s="31">
        <f t="shared" si="24"/>
        <v>-3.5664619361068257</v>
      </c>
      <c r="E87" s="31">
        <f t="shared" si="25"/>
        <v>1.1588137289060532</v>
      </c>
      <c r="F87" s="7" t="s">
        <v>74</v>
      </c>
      <c r="H87" s="40">
        <v>81</v>
      </c>
      <c r="I87" s="31">
        <f t="shared" si="19"/>
        <v>8.641237291806868E-17</v>
      </c>
      <c r="J87" s="31">
        <f t="shared" si="20"/>
        <v>1</v>
      </c>
      <c r="K87" s="31">
        <f t="shared" si="21"/>
        <v>0.3665058150325682</v>
      </c>
      <c r="L87" s="31">
        <f t="shared" si="22"/>
        <v>-0.6801534463769814</v>
      </c>
      <c r="M87" s="31">
        <f t="shared" si="23"/>
        <v>0.6348738275664132</v>
      </c>
      <c r="N87" s="31">
        <f t="shared" si="29"/>
        <v>151.6816576578574</v>
      </c>
      <c r="O87" s="31">
        <f t="shared" si="26"/>
        <v>2.2659626651485927</v>
      </c>
      <c r="P87" s="31">
        <f t="shared" si="27"/>
        <v>1.0749048357196151</v>
      </c>
      <c r="Q87" s="31">
        <f t="shared" si="28"/>
        <v>-1.9947847989178935</v>
      </c>
    </row>
    <row r="88" spans="2:17" ht="12.75">
      <c r="B88" s="31">
        <v>164</v>
      </c>
      <c r="C88" s="31"/>
      <c r="D88" s="31">
        <f t="shared" si="24"/>
        <v>-3.604731359768696</v>
      </c>
      <c r="E88" s="31">
        <f t="shared" si="25"/>
        <v>1.033640084313747</v>
      </c>
      <c r="F88" s="7" t="s">
        <v>74</v>
      </c>
      <c r="H88" s="40">
        <v>82</v>
      </c>
      <c r="I88" s="31">
        <f t="shared" si="19"/>
        <v>8.81805762978345E-17</v>
      </c>
      <c r="J88" s="31">
        <f t="shared" si="20"/>
        <v>1</v>
      </c>
      <c r="K88" s="31">
        <f t="shared" si="21"/>
        <v>0.3809990552064678</v>
      </c>
      <c r="L88" s="31">
        <f t="shared" si="22"/>
        <v>-0.670571902038931</v>
      </c>
      <c r="M88" s="31">
        <f t="shared" si="23"/>
        <v>0.6365320448552997</v>
      </c>
      <c r="N88" s="31">
        <f t="shared" si="29"/>
        <v>150.3960470808778</v>
      </c>
      <c r="O88" s="31">
        <f t="shared" si="26"/>
        <v>2.2608113851496654</v>
      </c>
      <c r="P88" s="31">
        <f t="shared" si="27"/>
        <v>1.116845013836496</v>
      </c>
      <c r="Q88" s="31">
        <f t="shared" si="28"/>
        <v>-1.9656869878724093</v>
      </c>
    </row>
    <row r="89" spans="2:17" ht="12.75">
      <c r="B89" s="31">
        <v>166</v>
      </c>
      <c r="C89" s="31"/>
      <c r="D89" s="31">
        <f t="shared" si="24"/>
        <v>-3.638608973534987</v>
      </c>
      <c r="E89" s="31">
        <f t="shared" si="25"/>
        <v>0.907207108498754</v>
      </c>
      <c r="F89" s="7" t="s">
        <v>74</v>
      </c>
      <c r="H89" s="40">
        <v>83</v>
      </c>
      <c r="I89" s="31">
        <f t="shared" si="19"/>
        <v>8.9953122340497E-17</v>
      </c>
      <c r="J89" s="31">
        <f t="shared" si="20"/>
        <v>1</v>
      </c>
      <c r="K89" s="31">
        <f t="shared" si="21"/>
        <v>0.39537623937733074</v>
      </c>
      <c r="L89" s="31">
        <f t="shared" si="22"/>
        <v>-0.6607860950035437</v>
      </c>
      <c r="M89" s="31">
        <f t="shared" si="23"/>
        <v>0.6379963683170988</v>
      </c>
      <c r="N89" s="31">
        <f t="shared" si="29"/>
        <v>149.10613427879932</v>
      </c>
      <c r="O89" s="31">
        <f t="shared" si="26"/>
        <v>2.256252661060103</v>
      </c>
      <c r="P89" s="31">
        <f t="shared" si="27"/>
        <v>1.158471534008694</v>
      </c>
      <c r="Q89" s="31">
        <f t="shared" si="28"/>
        <v>-1.9361352678551</v>
      </c>
    </row>
    <row r="90" spans="2:17" ht="12.75">
      <c r="B90" s="31">
        <v>168</v>
      </c>
      <c r="C90" s="31"/>
      <c r="D90" s="31">
        <f t="shared" si="24"/>
        <v>-3.6680535027517713</v>
      </c>
      <c r="E90" s="31">
        <f t="shared" si="25"/>
        <v>0.7796688405665975</v>
      </c>
      <c r="F90" s="7" t="s">
        <v>74</v>
      </c>
      <c r="H90" s="40">
        <v>84</v>
      </c>
      <c r="I90" s="31">
        <f t="shared" si="19"/>
        <v>9.172947111136058E-17</v>
      </c>
      <c r="J90" s="31">
        <f t="shared" si="20"/>
        <v>1</v>
      </c>
      <c r="K90" s="31">
        <f t="shared" si="21"/>
        <v>0.4096329881155837</v>
      </c>
      <c r="L90" s="31">
        <f t="shared" si="22"/>
        <v>-0.6507990061224398</v>
      </c>
      <c r="M90" s="31">
        <f t="shared" si="23"/>
        <v>0.6392663519046989</v>
      </c>
      <c r="N90" s="31">
        <f t="shared" si="29"/>
        <v>147.81242169950244</v>
      </c>
      <c r="O90" s="31">
        <f t="shared" si="26"/>
        <v>2.252291483431967</v>
      </c>
      <c r="P90" s="31">
        <f t="shared" si="27"/>
        <v>1.1997794775528268</v>
      </c>
      <c r="Q90" s="31">
        <f t="shared" si="28"/>
        <v>-1.9061338178583465</v>
      </c>
    </row>
    <row r="91" spans="2:17" ht="12.75">
      <c r="B91" s="31">
        <v>170</v>
      </c>
      <c r="C91" s="31"/>
      <c r="D91" s="31">
        <f t="shared" si="24"/>
        <v>-3.6930290737957803</v>
      </c>
      <c r="E91" s="31">
        <f t="shared" si="25"/>
        <v>0.6511806662509886</v>
      </c>
      <c r="F91" s="7" t="s">
        <v>74</v>
      </c>
      <c r="H91" s="40">
        <v>85</v>
      </c>
      <c r="I91" s="31">
        <f t="shared" si="19"/>
        <v>9.350908151738175E-17</v>
      </c>
      <c r="J91" s="31">
        <f t="shared" si="20"/>
        <v>1</v>
      </c>
      <c r="K91" s="31">
        <f t="shared" si="21"/>
        <v>0.4237649586774529</v>
      </c>
      <c r="L91" s="31">
        <f t="shared" si="22"/>
        <v>-0.6406136775596395</v>
      </c>
      <c r="M91" s="31">
        <f t="shared" si="23"/>
        <v>0.6403416087687969</v>
      </c>
      <c r="N91" s="31">
        <f t="shared" si="29"/>
        <v>146.5154255993342</v>
      </c>
      <c r="O91" s="31">
        <f t="shared" si="26"/>
        <v>2.24893221922956</v>
      </c>
      <c r="P91" s="31">
        <f t="shared" si="27"/>
        <v>1.2407639277608378</v>
      </c>
      <c r="Q91" s="31">
        <f t="shared" si="28"/>
        <v>-1.8756868081468965</v>
      </c>
    </row>
    <row r="92" spans="2:17" ht="12.75">
      <c r="B92" s="31">
        <v>172</v>
      </c>
      <c r="C92" s="31"/>
      <c r="D92" s="31">
        <f t="shared" si="24"/>
        <v>-3.7135052577808887</v>
      </c>
      <c r="E92" s="31">
        <f t="shared" si="25"/>
        <v>0.521899128600245</v>
      </c>
      <c r="F92" s="7" t="s">
        <v>74</v>
      </c>
      <c r="H92" s="40">
        <v>86</v>
      </c>
      <c r="I92" s="31">
        <f t="shared" si="19"/>
        <v>9.529141147199136E-17</v>
      </c>
      <c r="J92" s="31">
        <f t="shared" si="20"/>
        <v>1</v>
      </c>
      <c r="K92" s="31">
        <f t="shared" si="21"/>
        <v>0.4377678463278055</v>
      </c>
      <c r="L92" s="31">
        <f t="shared" si="22"/>
        <v>-0.6302332118648903</v>
      </c>
      <c r="M92" s="31">
        <f t="shared" si="23"/>
        <v>0.6412218113757352</v>
      </c>
      <c r="N92" s="31">
        <f t="shared" si="29"/>
        <v>145.21567429862375</v>
      </c>
      <c r="O92" s="31">
        <f t="shared" si="26"/>
        <v>2.246178594308281</v>
      </c>
      <c r="P92" s="31">
        <f t="shared" si="27"/>
        <v>1.2814199691424515</v>
      </c>
      <c r="Q92" s="31">
        <f t="shared" si="28"/>
        <v>-1.8447984009673477</v>
      </c>
    </row>
    <row r="93" spans="2:17" ht="12.75">
      <c r="B93" s="31">
        <v>174</v>
      </c>
      <c r="C93" s="31"/>
      <c r="D93" s="31">
        <f t="shared" si="24"/>
        <v>-3.729457107631025</v>
      </c>
      <c r="E93" s="31">
        <f t="shared" si="25"/>
        <v>0.3919817372537015</v>
      </c>
      <c r="F93" s="7" t="s">
        <v>74</v>
      </c>
      <c r="H93" s="40">
        <v>87</v>
      </c>
      <c r="I93" s="31">
        <f t="shared" si="19"/>
        <v>9.70759180602194E-17</v>
      </c>
      <c r="J93" s="31">
        <f t="shared" si="20"/>
        <v>1</v>
      </c>
      <c r="K93" s="31">
        <f t="shared" si="21"/>
        <v>0.45163738565141415</v>
      </c>
      <c r="L93" s="31">
        <f t="shared" si="22"/>
        <v>-0.6196607710286011</v>
      </c>
      <c r="M93" s="31">
        <f t="shared" si="23"/>
        <v>0.6419066916072734</v>
      </c>
      <c r="N93" s="31">
        <f t="shared" si="29"/>
        <v>143.91370633511838</v>
      </c>
      <c r="O93" s="31">
        <f t="shared" si="26"/>
        <v>2.2440336782839774</v>
      </c>
      <c r="P93" s="31">
        <f t="shared" si="27"/>
        <v>1.321742686668835</v>
      </c>
      <c r="Q93" s="31">
        <f t="shared" si="28"/>
        <v>-1.8134727512455673</v>
      </c>
    </row>
    <row r="94" spans="2:17" ht="12.75">
      <c r="B94" s="31">
        <v>176</v>
      </c>
      <c r="C94" s="31"/>
      <c r="D94" s="31">
        <f t="shared" si="24"/>
        <v>-3.740865188474341</v>
      </c>
      <c r="E94" s="31">
        <f t="shared" si="25"/>
        <v>0.2615867765404707</v>
      </c>
      <c r="F94" s="7" t="s">
        <v>74</v>
      </c>
      <c r="H94" s="40">
        <v>88</v>
      </c>
      <c r="I94" s="31">
        <f t="shared" si="19"/>
        <v>9.886205770407223E-17</v>
      </c>
      <c r="J94" s="31">
        <f t="shared" si="20"/>
        <v>1</v>
      </c>
      <c r="K94" s="31">
        <f t="shared" si="21"/>
        <v>0.46536935185224404</v>
      </c>
      <c r="L94" s="31">
        <f t="shared" si="22"/>
        <v>-0.6088995755186678</v>
      </c>
      <c r="M94" s="31">
        <f t="shared" si="23"/>
        <v>0.6423960408422583</v>
      </c>
      <c r="N94" s="31">
        <f t="shared" si="29"/>
        <v>142.61006852970513</v>
      </c>
      <c r="O94" s="31">
        <f t="shared" si="26"/>
        <v>2.2424998719410763</v>
      </c>
      <c r="P94" s="31">
        <f t="shared" si="27"/>
        <v>1.3617271650162848</v>
      </c>
      <c r="Q94" s="31">
        <f t="shared" si="28"/>
        <v>-1.7817140072729</v>
      </c>
    </row>
    <row r="95" spans="2:17" ht="12.75">
      <c r="B95" s="31">
        <v>178</v>
      </c>
      <c r="C95" s="31"/>
      <c r="D95" s="31">
        <f t="shared" si="24"/>
        <v>-3.7477156013216093</v>
      </c>
      <c r="E95" s="31">
        <f t="shared" si="25"/>
        <v>0.13087311263437928</v>
      </c>
      <c r="F95" s="7" t="s">
        <v>74</v>
      </c>
      <c r="H95" s="40">
        <v>89</v>
      </c>
      <c r="I95" s="31">
        <f t="shared" si="19"/>
        <v>1.0064928632811159E-16</v>
      </c>
      <c r="J95" s="31">
        <f t="shared" si="20"/>
        <v>1</v>
      </c>
      <c r="K95" s="31">
        <f t="shared" si="21"/>
        <v>0.4789595620403656</v>
      </c>
      <c r="L95" s="31">
        <f t="shared" si="22"/>
        <v>-0.5979529032994889</v>
      </c>
      <c r="M95" s="31">
        <f t="shared" si="23"/>
        <v>0.6426897100201724</v>
      </c>
      <c r="N95" s="31">
        <f t="shared" si="29"/>
        <v>141.30531398018138</v>
      </c>
      <c r="O95" s="31">
        <f t="shared" si="26"/>
        <v>2.241578897304604</v>
      </c>
      <c r="P95" s="31">
        <f t="shared" si="27"/>
        <v>1.4013684878087167</v>
      </c>
      <c r="Q95" s="31">
        <f t="shared" si="28"/>
        <v>-1.7495263113820365</v>
      </c>
    </row>
    <row r="96" spans="2:17" ht="12.75">
      <c r="B96" s="31">
        <v>180</v>
      </c>
      <c r="C96" s="31"/>
      <c r="D96" s="31">
        <f t="shared" si="24"/>
        <v>-3.75</v>
      </c>
      <c r="E96" s="31">
        <f t="shared" si="25"/>
        <v>4.594306705907325E-16</v>
      </c>
      <c r="F96" s="7" t="s">
        <v>74</v>
      </c>
      <c r="H96" s="40">
        <v>90</v>
      </c>
      <c r="I96" s="31">
        <f t="shared" si="19"/>
        <v>1.0243705952518533E-16</v>
      </c>
      <c r="J96" s="31">
        <f t="shared" si="20"/>
        <v>1</v>
      </c>
      <c r="K96" s="31">
        <f t="shared" si="21"/>
        <v>0.49240387650610407</v>
      </c>
      <c r="L96" s="31">
        <f t="shared" si="22"/>
        <v>-0.586824088833465</v>
      </c>
      <c r="M96" s="31">
        <f t="shared" si="23"/>
        <v>0.6427876096865394</v>
      </c>
      <c r="N96" s="31">
        <f t="shared" si="29"/>
        <v>140</v>
      </c>
      <c r="O96" s="31">
        <f t="shared" si="26"/>
        <v>2.2412717904758983</v>
      </c>
      <c r="P96" s="31">
        <f t="shared" si="27"/>
        <v>1.4406617368578731</v>
      </c>
      <c r="Q96" s="31">
        <f t="shared" si="28"/>
        <v>-1.716913800613384</v>
      </c>
    </row>
    <row r="97" spans="2:17" ht="12.75">
      <c r="B97" s="31">
        <v>182</v>
      </c>
      <c r="C97" s="31"/>
      <c r="D97" s="31">
        <f t="shared" si="24"/>
        <v>-3.7477156013216093</v>
      </c>
      <c r="E97" s="31">
        <f t="shared" si="25"/>
        <v>-0.13087311263437837</v>
      </c>
      <c r="F97" s="7" t="s">
        <v>74</v>
      </c>
      <c r="H97" s="40">
        <v>91</v>
      </c>
      <c r="I97" s="31">
        <f t="shared" si="19"/>
        <v>1.0422483272225907E-16</v>
      </c>
      <c r="J97" s="31">
        <f t="shared" si="20"/>
        <v>1</v>
      </c>
      <c r="K97" s="31">
        <f t="shared" si="21"/>
        <v>0.5056981999810355</v>
      </c>
      <c r="L97" s="31">
        <f t="shared" si="22"/>
        <v>-0.5755165220652899</v>
      </c>
      <c r="M97" s="31">
        <f t="shared" si="23"/>
        <v>0.6426897100201724</v>
      </c>
      <c r="N97" s="31">
        <f t="shared" si="29"/>
        <v>138.6946860198186</v>
      </c>
      <c r="O97" s="31">
        <f t="shared" si="26"/>
        <v>2.241578897304604</v>
      </c>
      <c r="P97" s="31">
        <f t="shared" si="27"/>
        <v>1.4796019914000351</v>
      </c>
      <c r="Q97" s="31">
        <f t="shared" si="28"/>
        <v>-1.683880607372855</v>
      </c>
    </row>
    <row r="98" spans="2:17" ht="12.75">
      <c r="B98" s="31">
        <v>184</v>
      </c>
      <c r="C98" s="31"/>
      <c r="D98" s="31">
        <f t="shared" si="24"/>
        <v>-3.740865188474341</v>
      </c>
      <c r="E98" s="31">
        <f t="shared" si="25"/>
        <v>-0.2615867765404698</v>
      </c>
      <c r="F98" s="7" t="s">
        <v>74</v>
      </c>
      <c r="H98" s="40">
        <v>92</v>
      </c>
      <c r="I98" s="31">
        <f t="shared" si="19"/>
        <v>1.0601206134629844E-16</v>
      </c>
      <c r="J98" s="31">
        <f t="shared" si="20"/>
        <v>1</v>
      </c>
      <c r="K98" s="31">
        <f t="shared" si="21"/>
        <v>0.518838482885444</v>
      </c>
      <c r="L98" s="31">
        <f t="shared" si="22"/>
        <v>-0.56403364738934</v>
      </c>
      <c r="M98" s="31">
        <f t="shared" si="23"/>
        <v>0.6423960408422583</v>
      </c>
      <c r="N98" s="31">
        <f t="shared" si="29"/>
        <v>137.38993147029484</v>
      </c>
      <c r="O98" s="31">
        <f t="shared" si="26"/>
        <v>2.2424998719410763</v>
      </c>
      <c r="P98" s="31">
        <f t="shared" si="27"/>
        <v>1.5181843273281699</v>
      </c>
      <c r="Q98" s="31">
        <f t="shared" si="28"/>
        <v>-1.6504308600819533</v>
      </c>
    </row>
    <row r="99" spans="2:17" ht="12.75">
      <c r="B99" s="31">
        <v>186</v>
      </c>
      <c r="C99" s="31"/>
      <c r="D99" s="31">
        <f t="shared" si="24"/>
        <v>-3.729457107631025</v>
      </c>
      <c r="E99" s="31">
        <f t="shared" si="25"/>
        <v>-0.3919817372537006</v>
      </c>
      <c r="F99" s="7" t="s">
        <v>74</v>
      </c>
      <c r="H99" s="40">
        <v>93</v>
      </c>
      <c r="I99" s="31">
        <f t="shared" si="19"/>
        <v>1.0779820099015126E-16</v>
      </c>
      <c r="J99" s="31">
        <f t="shared" si="20"/>
        <v>1</v>
      </c>
      <c r="K99" s="31">
        <f t="shared" si="21"/>
        <v>0.5318207225618645</v>
      </c>
      <c r="L99" s="31">
        <f t="shared" si="22"/>
        <v>-0.5523789626004786</v>
      </c>
      <c r="M99" s="31">
        <f t="shared" si="23"/>
        <v>0.6419066916072734</v>
      </c>
      <c r="N99" s="31">
        <f t="shared" si="29"/>
        <v>136.08629366488162</v>
      </c>
      <c r="O99" s="31">
        <f t="shared" si="26"/>
        <v>2.2440336782839774</v>
      </c>
      <c r="P99" s="31">
        <f t="shared" si="27"/>
        <v>1.5564038164183782</v>
      </c>
      <c r="Q99" s="31">
        <f t="shared" si="28"/>
        <v>-1.6165686838210815</v>
      </c>
    </row>
    <row r="100" spans="2:17" ht="12.75">
      <c r="B100" s="31">
        <v>188</v>
      </c>
      <c r="C100" s="31"/>
      <c r="D100" s="31">
        <f t="shared" si="24"/>
        <v>-3.7135052577808882</v>
      </c>
      <c r="E100" s="31">
        <f t="shared" si="25"/>
        <v>-0.5218991286002457</v>
      </c>
      <c r="F100" s="7" t="s">
        <v>74</v>
      </c>
      <c r="H100" s="40">
        <v>94</v>
      </c>
      <c r="I100" s="31">
        <f t="shared" si="19"/>
        <v>1.0958270757837935E-16</v>
      </c>
      <c r="J100" s="31">
        <f t="shared" si="20"/>
        <v>1</v>
      </c>
      <c r="K100" s="31">
        <f t="shared" si="21"/>
        <v>0.5446409644943296</v>
      </c>
      <c r="L100" s="31">
        <f t="shared" si="22"/>
        <v>-0.5405560178285941</v>
      </c>
      <c r="M100" s="31">
        <f t="shared" si="23"/>
        <v>0.6412218113757352</v>
      </c>
      <c r="N100" s="31">
        <f t="shared" si="29"/>
        <v>134.7843257013762</v>
      </c>
      <c r="O100" s="31">
        <f t="shared" si="26"/>
        <v>2.246178594308281</v>
      </c>
      <c r="P100" s="31">
        <f t="shared" si="27"/>
        <v>1.5942555255495694</v>
      </c>
      <c r="Q100" s="31">
        <f t="shared" si="28"/>
        <v>-1.5822982009669957</v>
      </c>
    </row>
    <row r="101" spans="2:17" ht="12.75">
      <c r="B101" s="31">
        <v>190</v>
      </c>
      <c r="C101" s="31"/>
      <c r="D101" s="31">
        <f t="shared" si="24"/>
        <v>-3.6930290737957803</v>
      </c>
      <c r="E101" s="31">
        <f t="shared" si="25"/>
        <v>-0.6511806662509892</v>
      </c>
      <c r="F101" s="7" t="s">
        <v>74</v>
      </c>
      <c r="H101" s="40">
        <v>95</v>
      </c>
      <c r="I101" s="31">
        <f t="shared" si="19"/>
        <v>1.1136503753298893E-16</v>
      </c>
      <c r="J101" s="31">
        <f t="shared" si="20"/>
        <v>1</v>
      </c>
      <c r="K101" s="31">
        <f t="shared" si="21"/>
        <v>0.5572953035129543</v>
      </c>
      <c r="L101" s="31">
        <f t="shared" si="22"/>
        <v>-0.5285684144571952</v>
      </c>
      <c r="M101" s="31">
        <f t="shared" si="23"/>
        <v>0.6403416087687969</v>
      </c>
      <c r="N101" s="31">
        <f t="shared" si="29"/>
        <v>133.48457440066576</v>
      </c>
      <c r="O101" s="31">
        <f t="shared" si="26"/>
        <v>2.24893221922956</v>
      </c>
      <c r="P101" s="31">
        <f t="shared" si="27"/>
        <v>1.6317345159152548</v>
      </c>
      <c r="Q101" s="31">
        <f t="shared" si="28"/>
        <v>-1.5476235318253608</v>
      </c>
    </row>
    <row r="102" spans="2:17" ht="12.75">
      <c r="B102" s="31">
        <v>192</v>
      </c>
      <c r="C102" s="31"/>
      <c r="D102" s="31">
        <f t="shared" si="24"/>
        <v>-3.668053502751771</v>
      </c>
      <c r="E102" s="31">
        <f t="shared" si="25"/>
        <v>-0.7796688405665981</v>
      </c>
      <c r="F102" s="7" t="s">
        <v>74</v>
      </c>
      <c r="H102" s="40">
        <v>96</v>
      </c>
      <c r="I102" s="31">
        <f aca="true" t="shared" si="30" ref="I102:I133">(X_2*X_S+Y_2*Y_S+Z_2*Z_S)*(1-COS(RADIANS(H102)))</f>
        <v>1.1314464793901012E-16</v>
      </c>
      <c r="J102" s="31">
        <f aca="true" t="shared" si="31" ref="J102:J133">SIGN(COS(RADIANS(H102))*Z_S+I102*Z_2+(SIN(RADIANS(H102))*(X_2*Y_S-Y_2*X_S)))</f>
        <v>1</v>
      </c>
      <c r="K102" s="31">
        <f aca="true" t="shared" si="32" ref="K102:K133">(COS(RADIANS(H102))*X_S+I102*X_2+(SIN(RADIANS(H102))*(Y_2*Z_S-Z_2*Y_S)))*J102</f>
        <v>0.5697798849834881</v>
      </c>
      <c r="L102" s="31">
        <f aca="true" t="shared" si="33" ref="L102:L133">(COS(RADIANS(H102))*Y_S+I102*Y_2-(SIN(RADIANS(H102))*(X_2*Z_S-Z_2*X_S)))*J102</f>
        <v>-0.5164198040263953</v>
      </c>
      <c r="M102" s="31">
        <f aca="true" t="shared" si="34" ref="M102:M133">(COS(RADIANS(H102))*Z_S+I102*Z_2+(SIN(RADIANS(H102))*(X_2*Y_S-Y_2*X_S)))*J102</f>
        <v>0.6392663519046989</v>
      </c>
      <c r="N102" s="31">
        <f t="shared" si="29"/>
        <v>132.18757830049753</v>
      </c>
      <c r="O102" s="31">
        <f t="shared" si="26"/>
        <v>2.252291483431967</v>
      </c>
      <c r="P102" s="31">
        <f t="shared" si="27"/>
        <v>1.6688358422264302</v>
      </c>
      <c r="Q102" s="31">
        <f t="shared" si="28"/>
        <v>-1.5125487952593701</v>
      </c>
    </row>
    <row r="103" spans="2:17" ht="12.75">
      <c r="B103" s="31">
        <v>194</v>
      </c>
      <c r="C103" s="31"/>
      <c r="D103" s="31">
        <f t="shared" si="24"/>
        <v>-3.638608973534987</v>
      </c>
      <c r="E103" s="31">
        <f t="shared" si="25"/>
        <v>-0.9072071084987532</v>
      </c>
      <c r="F103" s="7" t="s">
        <v>74</v>
      </c>
      <c r="H103" s="40">
        <v>97</v>
      </c>
      <c r="I103" s="31">
        <f t="shared" si="30"/>
        <v>1.1492099670987368E-16</v>
      </c>
      <c r="J103" s="31">
        <f t="shared" si="31"/>
        <v>1</v>
      </c>
      <c r="K103" s="31">
        <f t="shared" si="32"/>
        <v>0.5820909059814741</v>
      </c>
      <c r="L103" s="31">
        <f t="shared" si="33"/>
        <v>-0.5041138871206183</v>
      </c>
      <c r="M103" s="31">
        <f t="shared" si="34"/>
        <v>0.6379963683170988</v>
      </c>
      <c r="N103" s="31">
        <f t="shared" si="29"/>
        <v>130.89386572120068</v>
      </c>
      <c r="O103" s="31">
        <f t="shared" si="26"/>
        <v>2.256252661060103</v>
      </c>
      <c r="P103" s="31">
        <f t="shared" si="27"/>
        <v>1.7055545519044473</v>
      </c>
      <c r="Q103" s="31">
        <f t="shared" si="28"/>
        <v>-1.4770781093154202</v>
      </c>
    </row>
    <row r="104" spans="2:17" ht="12.75">
      <c r="B104" s="31">
        <v>196</v>
      </c>
      <c r="C104" s="31"/>
      <c r="D104" s="31">
        <f t="shared" si="24"/>
        <v>-3.604731359768696</v>
      </c>
      <c r="E104" s="31">
        <f t="shared" si="25"/>
        <v>-1.0336400843137463</v>
      </c>
      <c r="F104" s="7" t="s">
        <v>74</v>
      </c>
      <c r="H104" s="40">
        <v>98</v>
      </c>
      <c r="I104" s="31">
        <f t="shared" si="30"/>
        <v>1.166935427525362E-16</v>
      </c>
      <c r="J104" s="31">
        <f t="shared" si="31"/>
        <v>1</v>
      </c>
      <c r="K104" s="31">
        <f t="shared" si="32"/>
        <v>0.594224616450657</v>
      </c>
      <c r="L104" s="31">
        <f t="shared" si="33"/>
        <v>-0.4916544122413632</v>
      </c>
      <c r="M104" s="31">
        <f t="shared" si="34"/>
        <v>0.6365320448552997</v>
      </c>
      <c r="N104" s="31">
        <f t="shared" si="29"/>
        <v>129.6039529191222</v>
      </c>
      <c r="O104" s="31">
        <f aca="true" t="shared" si="35" ref="O104:O135">IF(UPPER(Projection)="EQUAL AREA",SQRT(2)*(SIN(ACOS(ABS(M104))/2))*Radius,TAN(ACOS(ABS(M104))/2)*Radius)</f>
        <v>2.2608113851496654</v>
      </c>
      <c r="P104" s="31">
        <f aca="true" t="shared" si="36" ref="P104:P135">+Xcenter+SIN(RADIANS(N104))*O104</f>
        <v>1.7418856842628576</v>
      </c>
      <c r="Q104" s="31">
        <f aca="true" t="shared" si="37" ref="Q104:Q135">Ycenter+COS(RADIANS(N104))*O104</f>
        <v>-1.4412155918468497</v>
      </c>
    </row>
    <row r="105" spans="2:17" ht="12.75">
      <c r="B105" s="31">
        <v>198</v>
      </c>
      <c r="C105" s="31"/>
      <c r="D105" s="31">
        <f t="shared" si="24"/>
        <v>-3.566461936106826</v>
      </c>
      <c r="E105" s="31">
        <f t="shared" si="25"/>
        <v>-1.1588137289060523</v>
      </c>
      <c r="F105" s="7" t="s">
        <v>74</v>
      </c>
      <c r="H105" s="40">
        <v>99</v>
      </c>
      <c r="I105" s="31">
        <f t="shared" si="30"/>
        <v>1.18461746132302E-16</v>
      </c>
      <c r="J105" s="31">
        <f t="shared" si="31"/>
        <v>1</v>
      </c>
      <c r="K105" s="31">
        <f t="shared" si="32"/>
        <v>0.6061773203452859</v>
      </c>
      <c r="L105" s="31">
        <f t="shared" si="33"/>
        <v>-0.4790451746653763</v>
      </c>
      <c r="M105" s="31">
        <f t="shared" si="34"/>
        <v>0.6348738275664132</v>
      </c>
      <c r="N105" s="31">
        <f t="shared" si="29"/>
        <v>128.3183423421426</v>
      </c>
      <c r="O105" s="31">
        <f t="shared" si="35"/>
        <v>2.2659626651485927</v>
      </c>
      <c r="P105" s="31">
        <f t="shared" si="36"/>
        <v>1.7778242696771576</v>
      </c>
      <c r="Q105" s="31">
        <f t="shared" si="37"/>
        <v>-1.4049653611367772</v>
      </c>
    </row>
    <row r="106" spans="2:17" ht="12.75">
      <c r="B106" s="31">
        <v>200</v>
      </c>
      <c r="C106" s="31"/>
      <c r="D106" s="31">
        <f t="shared" si="24"/>
        <v>-3.5238473279471565</v>
      </c>
      <c r="E106" s="31">
        <f t="shared" si="25"/>
        <v>-1.2825755374712575</v>
      </c>
      <c r="F106" s="7" t="s">
        <v>74</v>
      </c>
      <c r="H106" s="40">
        <v>100</v>
      </c>
      <c r="I106" s="31">
        <f t="shared" si="30"/>
        <v>1.2022506823729263E-16</v>
      </c>
      <c r="J106" s="31">
        <f t="shared" si="31"/>
        <v>1</v>
      </c>
      <c r="K106" s="31">
        <f t="shared" si="32"/>
        <v>0.6179453767559662</v>
      </c>
      <c r="L106" s="31">
        <f t="shared" si="33"/>
        <v>-0.46629001528857134</v>
      </c>
      <c r="M106" s="31">
        <f t="shared" si="34"/>
        <v>0.6330222215594891</v>
      </c>
      <c r="N106" s="31">
        <f t="shared" si="29"/>
        <v>127.03752100003987</v>
      </c>
      <c r="O106" s="31">
        <f t="shared" si="35"/>
        <v>2.27170090665996</v>
      </c>
      <c r="P106" s="31">
        <f t="shared" si="36"/>
        <v>1.8133653287414215</v>
      </c>
      <c r="Q106" s="31">
        <f t="shared" si="37"/>
        <v>-1.3683315365211022</v>
      </c>
    </row>
    <row r="107" spans="2:17" ht="12.75">
      <c r="B107" s="31">
        <v>202</v>
      </c>
      <c r="C107" s="31"/>
      <c r="D107" s="31">
        <f t="shared" si="24"/>
        <v>-3.4769394546254526</v>
      </c>
      <c r="E107" s="31">
        <f t="shared" si="25"/>
        <v>-1.40477472530967</v>
      </c>
      <c r="F107" s="7" t="s">
        <v>74</v>
      </c>
      <c r="H107" s="40">
        <v>101</v>
      </c>
      <c r="I107" s="31">
        <f t="shared" si="30"/>
        <v>1.2198297194251327E-16</v>
      </c>
      <c r="J107" s="31">
        <f t="shared" si="31"/>
        <v>1</v>
      </c>
      <c r="K107" s="31">
        <f t="shared" si="32"/>
        <v>0.6295252010187152</v>
      </c>
      <c r="L107" s="31">
        <f t="shared" si="33"/>
        <v>-0.4533928194560568</v>
      </c>
      <c r="M107" s="31">
        <f t="shared" si="34"/>
        <v>0.630977790851654</v>
      </c>
      <c r="N107" s="31">
        <f t="shared" si="29"/>
        <v>125.76195896071724</v>
      </c>
      <c r="O107" s="31">
        <f t="shared" si="35"/>
        <v>2.278019933220212</v>
      </c>
      <c r="P107" s="31">
        <f t="shared" si="36"/>
        <v>1.848503871410784</v>
      </c>
      <c r="Q107" s="31">
        <f t="shared" si="37"/>
        <v>-1.3313182390127318</v>
      </c>
    </row>
    <row r="108" spans="2:17" ht="12.75">
      <c r="B108" s="31">
        <v>204</v>
      </c>
      <c r="C108" s="31"/>
      <c r="D108" s="31">
        <f t="shared" si="24"/>
        <v>-3.4257954661597534</v>
      </c>
      <c r="E108" s="31">
        <f t="shared" si="25"/>
        <v>-1.5252624115342508</v>
      </c>
      <c r="F108" s="7" t="s">
        <v>74</v>
      </c>
      <c r="H108" s="40">
        <v>102</v>
      </c>
      <c r="I108" s="31">
        <f t="shared" si="30"/>
        <v>1.237349217734661E-16</v>
      </c>
      <c r="J108" s="31">
        <f t="shared" si="31"/>
        <v>1</v>
      </c>
      <c r="K108" s="31">
        <f t="shared" si="32"/>
        <v>0.6409132658068865</v>
      </c>
      <c r="L108" s="31">
        <f t="shared" si="33"/>
        <v>-0.44035751577862103</v>
      </c>
      <c r="M108" s="31">
        <f t="shared" si="34"/>
        <v>0.6287411581963064</v>
      </c>
      <c r="N108" s="31">
        <f t="shared" si="29"/>
        <v>124.49210798143918</v>
      </c>
      <c r="O108" s="31">
        <f t="shared" si="35"/>
        <v>2.2849130099118526</v>
      </c>
      <c r="P108" s="31">
        <f t="shared" si="36"/>
        <v>1.8832348961287386</v>
      </c>
      <c r="Q108" s="31">
        <f t="shared" si="37"/>
        <v>-1.2939295919281781</v>
      </c>
    </row>
    <row r="109" spans="2:17" ht="12.75">
      <c r="B109" s="31">
        <v>206</v>
      </c>
      <c r="C109" s="31"/>
      <c r="D109" s="31">
        <f t="shared" si="24"/>
        <v>-3.370477673621876</v>
      </c>
      <c r="E109" s="31">
        <f t="shared" si="25"/>
        <v>-1.6438918004590404</v>
      </c>
      <c r="F109" s="7" t="s">
        <v>74</v>
      </c>
      <c r="H109" s="40">
        <v>103</v>
      </c>
      <c r="I109" s="31">
        <f t="shared" si="30"/>
        <v>1.2548038406926106E-16</v>
      </c>
      <c r="J109" s="31">
        <f t="shared" si="31"/>
        <v>1</v>
      </c>
      <c r="K109" s="31">
        <f t="shared" si="32"/>
        <v>0.6521061022056267</v>
      </c>
      <c r="L109" s="31">
        <f t="shared" si="33"/>
        <v>-0.42718807493604005</v>
      </c>
      <c r="M109" s="31">
        <f t="shared" si="34"/>
        <v>0.6263130048934199</v>
      </c>
      <c r="N109" s="31">
        <f t="shared" si="29"/>
        <v>123.22840028227509</v>
      </c>
      <c r="O109" s="31">
        <f t="shared" si="35"/>
        <v>2.292372868598449</v>
      </c>
      <c r="P109" s="31">
        <f t="shared" si="36"/>
        <v>1.917553388938241</v>
      </c>
      <c r="Q109" s="31">
        <f t="shared" si="37"/>
        <v>-1.2561697215176573</v>
      </c>
    </row>
    <row r="110" spans="2:17" ht="12.75">
      <c r="B110" s="31">
        <v>208</v>
      </c>
      <c r="C110" s="31"/>
      <c r="D110" s="31">
        <f t="shared" si="24"/>
        <v>-3.311053473220976</v>
      </c>
      <c r="E110" s="31">
        <f t="shared" si="25"/>
        <v>-1.7605183604470906</v>
      </c>
      <c r="F110" s="7" t="s">
        <v>74</v>
      </c>
      <c r="H110" s="40">
        <v>104</v>
      </c>
      <c r="I110" s="31">
        <f t="shared" si="30"/>
        <v>1.272188271451742E-16</v>
      </c>
      <c r="J110" s="31">
        <f t="shared" si="31"/>
        <v>1</v>
      </c>
      <c r="K110" s="31">
        <f t="shared" si="32"/>
        <v>0.6631003007685414</v>
      </c>
      <c r="L110" s="31">
        <f t="shared" si="33"/>
        <v>-0.41388850846756975</v>
      </c>
      <c r="M110" s="31">
        <f t="shared" si="34"/>
        <v>0.6236940705820124</v>
      </c>
      <c r="N110" s="31">
        <f t="shared" si="29"/>
        <v>121.97124746697531</v>
      </c>
      <c r="O110" s="31">
        <f t="shared" si="35"/>
        <v>2.3003917345618445</v>
      </c>
      <c r="P110" s="31">
        <f t="shared" si="36"/>
        <v>1.9514543225756003</v>
      </c>
      <c r="Q110" s="31">
        <f t="shared" si="37"/>
        <v>-1.218042757599854</v>
      </c>
    </row>
    <row r="111" spans="2:17" ht="12.75">
      <c r="B111" s="31">
        <v>210</v>
      </c>
      <c r="C111" s="31"/>
      <c r="D111" s="31">
        <f t="shared" si="24"/>
        <v>-3.2475952641916446</v>
      </c>
      <c r="E111" s="31">
        <f t="shared" si="25"/>
        <v>-1.8750000000000004</v>
      </c>
      <c r="F111" s="7" t="s">
        <v>74</v>
      </c>
      <c r="H111" s="40">
        <v>105</v>
      </c>
      <c r="I111" s="31">
        <f t="shared" si="30"/>
        <v>1.289497214546039E-16</v>
      </c>
      <c r="J111" s="31">
        <f t="shared" si="31"/>
        <v>1</v>
      </c>
      <c r="K111" s="31">
        <f t="shared" si="32"/>
        <v>0.6738925125562452</v>
      </c>
      <c r="L111" s="31">
        <f t="shared" si="33"/>
        <v>-0.4004628675499923</v>
      </c>
      <c r="M111" s="31">
        <f t="shared" si="34"/>
        <v>0.6208851530148457</v>
      </c>
      <c r="N111" s="31">
        <f t="shared" si="29"/>
        <v>120.72103959454049</v>
      </c>
      <c r="O111" s="31">
        <f t="shared" si="35"/>
        <v>2.3089613543168563</v>
      </c>
      <c r="P111" s="31">
        <f t="shared" si="36"/>
        <v>1.9849326555461215</v>
      </c>
      <c r="Q111" s="31">
        <f t="shared" si="37"/>
        <v>-1.1795528342025863</v>
      </c>
    </row>
    <row r="112" spans="2:17" ht="12.75">
      <c r="B112" s="31">
        <v>212</v>
      </c>
      <c r="C112" s="31"/>
      <c r="D112" s="31">
        <f t="shared" si="24"/>
        <v>-3.180180360586598</v>
      </c>
      <c r="E112" s="31">
        <f t="shared" si="25"/>
        <v>-1.987197240874518</v>
      </c>
      <c r="F112" s="7" t="s">
        <v>74</v>
      </c>
      <c r="H112" s="40">
        <v>106</v>
      </c>
      <c r="I112" s="31">
        <f t="shared" si="30"/>
        <v>1.3067253975037598E-16</v>
      </c>
      <c r="J112" s="31">
        <f t="shared" si="31"/>
        <v>1</v>
      </c>
      <c r="K112" s="31">
        <f t="shared" si="32"/>
        <v>0.6844794501564808</v>
      </c>
      <c r="L112" s="31">
        <f t="shared" si="33"/>
        <v>-0.3869152417635883</v>
      </c>
      <c r="M112" s="31">
        <f t="shared" si="34"/>
        <v>0.617887107815421</v>
      </c>
      <c r="N112" s="31">
        <f t="shared" si="29"/>
        <v>119.47814440282949</v>
      </c>
      <c r="O112" s="31">
        <f t="shared" si="35"/>
        <v>2.318073024377283</v>
      </c>
      <c r="P112" s="31">
        <f t="shared" si="36"/>
        <v>2.0179833311805235</v>
      </c>
      <c r="Q112" s="31">
        <f t="shared" si="37"/>
        <v>-1.1407040902106038</v>
      </c>
    </row>
    <row r="113" spans="2:17" ht="12.75">
      <c r="B113" s="31">
        <v>214</v>
      </c>
      <c r="C113" s="31"/>
      <c r="D113" s="31">
        <f t="shared" si="24"/>
        <v>-3.108890897081407</v>
      </c>
      <c r="E113" s="31">
        <f t="shared" si="25"/>
        <v>-2.0969733880153</v>
      </c>
      <c r="F113" s="7" t="s">
        <v>74</v>
      </c>
      <c r="H113" s="40">
        <v>107</v>
      </c>
      <c r="I113" s="31">
        <f t="shared" si="30"/>
        <v>1.3238675724534824E-16</v>
      </c>
      <c r="J113" s="31">
        <f t="shared" si="31"/>
        <v>1</v>
      </c>
      <c r="K113" s="31">
        <f t="shared" si="32"/>
        <v>0.6948578886854977</v>
      </c>
      <c r="L113" s="31">
        <f t="shared" si="33"/>
        <v>-0.3732497578464108</v>
      </c>
      <c r="M113" s="31">
        <f t="shared" si="34"/>
        <v>0.6147008482173489</v>
      </c>
      <c r="N113" s="31">
        <f t="shared" si="29"/>
        <v>118.24290668372262</v>
      </c>
      <c r="O113" s="31">
        <f t="shared" si="35"/>
        <v>2.3277176207486017</v>
      </c>
      <c r="P113" s="31">
        <f t="shared" si="36"/>
        <v>2.0506012766710713</v>
      </c>
      <c r="Q113" s="31">
        <f t="shared" si="37"/>
        <v>-1.1015006700218135</v>
      </c>
    </row>
    <row r="114" spans="2:17" ht="12.75">
      <c r="B114" s="31">
        <v>216</v>
      </c>
      <c r="C114" s="31"/>
      <c r="D114" s="31">
        <f t="shared" si="24"/>
        <v>-3.033813728906053</v>
      </c>
      <c r="E114" s="31">
        <f t="shared" si="25"/>
        <v>-2.2041946960967738</v>
      </c>
      <c r="F114" s="7" t="s">
        <v>74</v>
      </c>
      <c r="H114" s="40">
        <v>108</v>
      </c>
      <c r="I114" s="31">
        <f t="shared" si="30"/>
        <v>1.340918517722657E-16</v>
      </c>
      <c r="J114" s="31">
        <f t="shared" si="31"/>
        <v>1</v>
      </c>
      <c r="K114" s="31">
        <f t="shared" si="32"/>
        <v>0.7050246667703813</v>
      </c>
      <c r="L114" s="31">
        <f t="shared" si="33"/>
        <v>-0.35947057843724173</v>
      </c>
      <c r="M114" s="31">
        <f t="shared" si="34"/>
        <v>0.6113273447861691</v>
      </c>
      <c r="N114" s="31">
        <f t="shared" si="29"/>
        <v>117.01564780764072</v>
      </c>
      <c r="O114" s="31">
        <f t="shared" si="35"/>
        <v>2.3378856289272356</v>
      </c>
      <c r="P114" s="31">
        <f t="shared" si="36"/>
        <v>2.082781402086458</v>
      </c>
      <c r="Q114" s="31">
        <f t="shared" si="37"/>
        <v>-1.0619467242132556</v>
      </c>
    </row>
    <row r="115" spans="2:17" ht="12.75">
      <c r="B115" s="31">
        <v>218</v>
      </c>
      <c r="C115" s="31"/>
      <c r="D115" s="31">
        <f t="shared" si="24"/>
        <v>-2.9550403260252076</v>
      </c>
      <c r="E115" s="31">
        <f t="shared" si="25"/>
        <v>-2.308730532471218</v>
      </c>
      <c r="F115" s="7" t="s">
        <v>74</v>
      </c>
      <c r="H115" s="40">
        <v>109</v>
      </c>
      <c r="I115" s="31">
        <f t="shared" si="30"/>
        <v>1.3578730394281785E-16</v>
      </c>
      <c r="J115" s="31">
        <f t="shared" si="31"/>
        <v>1</v>
      </c>
      <c r="K115" s="31">
        <f t="shared" si="32"/>
        <v>0.7149766875120395</v>
      </c>
      <c r="L115" s="31">
        <f t="shared" si="33"/>
        <v>-0.34558190080761103</v>
      </c>
      <c r="M115" s="31">
        <f t="shared" si="34"/>
        <v>0.6077676251237063</v>
      </c>
      <c r="N115" s="31">
        <f t="shared" si="29"/>
        <v>115.79666539364773</v>
      </c>
      <c r="O115" s="31">
        <f t="shared" si="35"/>
        <v>2.3485671741932097</v>
      </c>
      <c r="P115" s="31">
        <f t="shared" si="36"/>
        <v>2.114518599364388</v>
      </c>
      <c r="Q115" s="31">
        <f t="shared" si="37"/>
        <v>-1.022046410218218</v>
      </c>
    </row>
    <row r="116" spans="2:17" ht="12.75">
      <c r="B116" s="31">
        <v>220</v>
      </c>
      <c r="C116" s="31"/>
      <c r="D116" s="31">
        <f t="shared" si="24"/>
        <v>-2.8726666616961674</v>
      </c>
      <c r="E116" s="31">
        <f t="shared" si="25"/>
        <v>-2.410453536324522</v>
      </c>
      <c r="F116" s="7" t="s">
        <v>74</v>
      </c>
      <c r="H116" s="40">
        <v>110</v>
      </c>
      <c r="I116" s="31">
        <f t="shared" si="30"/>
        <v>1.374725973058493E-16</v>
      </c>
      <c r="J116" s="31">
        <f t="shared" si="31"/>
        <v>1</v>
      </c>
      <c r="K116" s="31">
        <f t="shared" si="32"/>
        <v>0.7247109194285467</v>
      </c>
      <c r="L116" s="31">
        <f t="shared" si="33"/>
        <v>-0.33158795558326715</v>
      </c>
      <c r="M116" s="31">
        <f t="shared" si="34"/>
        <v>0.6040227735550537</v>
      </c>
      <c r="N116" s="31">
        <f t="shared" si="29"/>
        <v>114.58623311995072</v>
      </c>
      <c r="O116" s="31">
        <f t="shared" si="35"/>
        <v>2.3597520519923396</v>
      </c>
      <c r="P116" s="31">
        <f t="shared" si="36"/>
        <v>2.1458077412808683</v>
      </c>
      <c r="Q116" s="31">
        <f t="shared" si="37"/>
        <v>-0.9818038930158889</v>
      </c>
    </row>
    <row r="117" spans="2:17" ht="12.75">
      <c r="B117" s="31">
        <v>222</v>
      </c>
      <c r="C117" s="31"/>
      <c r="D117" s="31">
        <f t="shared" si="24"/>
        <v>-2.7867930955402285</v>
      </c>
      <c r="E117" s="31">
        <f t="shared" si="25"/>
        <v>-2.509239773845718</v>
      </c>
      <c r="F117" s="7" t="s">
        <v>74</v>
      </c>
      <c r="H117" s="40">
        <v>111</v>
      </c>
      <c r="I117" s="31">
        <f t="shared" si="30"/>
        <v>1.3914721850467588E-16</v>
      </c>
      <c r="J117" s="31">
        <f t="shared" si="31"/>
        <v>1</v>
      </c>
      <c r="K117" s="31">
        <f t="shared" si="32"/>
        <v>0.7342243973785636</v>
      </c>
      <c r="L117" s="31">
        <f t="shared" si="33"/>
        <v>-0.3174930054554881</v>
      </c>
      <c r="M117" s="31">
        <f t="shared" si="34"/>
        <v>0.6000939307982762</v>
      </c>
      <c r="N117" s="31">
        <f t="shared" si="29"/>
        <v>113.38460066837443</v>
      </c>
      <c r="O117" s="31">
        <f t="shared" si="35"/>
        <v>2.371429758215335</v>
      </c>
      <c r="P117" s="31">
        <f t="shared" si="36"/>
        <v>2.176643680395195</v>
      </c>
      <c r="Q117" s="31">
        <f t="shared" si="37"/>
        <v>-0.9412233458350369</v>
      </c>
    </row>
    <row r="118" spans="2:17" ht="12.75">
      <c r="B118" s="31">
        <v>224</v>
      </c>
      <c r="C118" s="31"/>
      <c r="D118" s="31">
        <f t="shared" si="24"/>
        <v>-2.6975242512699413</v>
      </c>
      <c r="E118" s="31">
        <f t="shared" si="25"/>
        <v>-2.60496888922124</v>
      </c>
      <c r="F118" s="7" t="s">
        <v>74</v>
      </c>
      <c r="H118" s="40">
        <v>112</v>
      </c>
      <c r="I118" s="31">
        <f t="shared" si="30"/>
        <v>1.4081065743345802E-16</v>
      </c>
      <c r="J118" s="31">
        <f t="shared" si="31"/>
        <v>1</v>
      </c>
      <c r="K118" s="31">
        <f t="shared" si="32"/>
        <v>0.7435142234645478</v>
      </c>
      <c r="L118" s="31">
        <f t="shared" si="33"/>
        <v>-0.3033013438826234</v>
      </c>
      <c r="M118" s="31">
        <f t="shared" si="34"/>
        <v>0.5959822936169372</v>
      </c>
      <c r="N118" s="31">
        <f t="shared" si="29"/>
        <v>112.19199379533393</v>
      </c>
      <c r="O118" s="31">
        <f t="shared" si="35"/>
        <v>2.3835895191940706</v>
      </c>
      <c r="P118" s="31">
        <f t="shared" si="36"/>
        <v>2.2070212479696174</v>
      </c>
      <c r="Q118" s="31">
        <f t="shared" si="37"/>
        <v>-0.9003089508732278</v>
      </c>
    </row>
    <row r="119" spans="2:17" ht="12.75">
      <c r="B119" s="31">
        <v>226</v>
      </c>
      <c r="C119" s="31"/>
      <c r="D119" s="31">
        <f t="shared" si="24"/>
        <v>-2.6049688892212397</v>
      </c>
      <c r="E119" s="31">
        <f t="shared" si="25"/>
        <v>-2.6975242512699418</v>
      </c>
      <c r="F119" s="7" t="s">
        <v>74</v>
      </c>
      <c r="H119" s="40">
        <v>113</v>
      </c>
      <c r="I119" s="31">
        <f t="shared" si="30"/>
        <v>1.4246240739258393E-16</v>
      </c>
      <c r="J119" s="31">
        <f t="shared" si="31"/>
        <v>1</v>
      </c>
      <c r="K119" s="31">
        <f t="shared" si="32"/>
        <v>0.7525775679154804</v>
      </c>
      <c r="L119" s="31">
        <f t="shared" si="33"/>
        <v>-0.2890172937822661</v>
      </c>
      <c r="M119" s="31">
        <f t="shared" si="34"/>
        <v>0.5916891144555523</v>
      </c>
      <c r="N119" s="31">
        <f t="shared" si="29"/>
        <v>111.0086145209666</v>
      </c>
      <c r="O119" s="31">
        <f t="shared" si="35"/>
        <v>2.3962203212494457</v>
      </c>
      <c r="P119" s="31">
        <f t="shared" si="36"/>
        <v>2.236935252862674</v>
      </c>
      <c r="Q119" s="31">
        <f t="shared" si="37"/>
        <v>-0.8590649000331714</v>
      </c>
    </row>
    <row r="120" spans="2:17" ht="12.75">
      <c r="B120" s="31">
        <v>228</v>
      </c>
      <c r="C120" s="31"/>
      <c r="D120" s="31">
        <f t="shared" si="24"/>
        <v>-2.509239773845718</v>
      </c>
      <c r="E120" s="31">
        <f t="shared" si="25"/>
        <v>-2.786793095540229</v>
      </c>
      <c r="F120" s="7" t="s">
        <v>74</v>
      </c>
      <c r="H120" s="40">
        <v>114</v>
      </c>
      <c r="I120" s="31">
        <f t="shared" si="30"/>
        <v>1.4410196524301514E-16</v>
      </c>
      <c r="J120" s="31">
        <f t="shared" si="31"/>
        <v>1</v>
      </c>
      <c r="K120" s="31">
        <f t="shared" si="32"/>
        <v>0.7614116699488436</v>
      </c>
      <c r="L120" s="31">
        <f t="shared" si="33"/>
        <v>-0.2746452062144492</v>
      </c>
      <c r="M120" s="31">
        <f t="shared" si="34"/>
        <v>0.5872157010580831</v>
      </c>
      <c r="N120" s="31">
        <f t="shared" si="29"/>
        <v>109.83464142740833</v>
      </c>
      <c r="O120" s="31">
        <f t="shared" si="35"/>
        <v>2.4093109396403585</v>
      </c>
      <c r="P120" s="31">
        <f t="shared" si="36"/>
        <v>2.266380480395178</v>
      </c>
      <c r="Q120" s="31">
        <f t="shared" si="37"/>
        <v>-0.8174953956778155</v>
      </c>
    </row>
    <row r="121" spans="2:17" ht="12.75">
      <c r="B121" s="31">
        <v>230</v>
      </c>
      <c r="C121" s="31"/>
      <c r="D121" s="31">
        <f t="shared" si="24"/>
        <v>-2.410453536324523</v>
      </c>
      <c r="E121" s="31">
        <f t="shared" si="25"/>
        <v>-2.872666661696167</v>
      </c>
      <c r="F121" s="7" t="s">
        <v>74</v>
      </c>
      <c r="H121" s="40">
        <v>115</v>
      </c>
      <c r="I121" s="31">
        <f t="shared" si="30"/>
        <v>1.457288315595477E-16</v>
      </c>
      <c r="J121" s="31">
        <f t="shared" si="31"/>
        <v>1</v>
      </c>
      <c r="K121" s="31">
        <f t="shared" si="32"/>
        <v>0.7700138386115796</v>
      </c>
      <c r="L121" s="31">
        <f t="shared" si="33"/>
        <v>-0.2601894590562718</v>
      </c>
      <c r="M121" s="31">
        <f t="shared" si="34"/>
        <v>0.5825634160695855</v>
      </c>
      <c r="N121" s="31">
        <f t="shared" si="29"/>
        <v>108.67023005670785</v>
      </c>
      <c r="O121" s="31">
        <f t="shared" si="35"/>
        <v>2.422849966779093</v>
      </c>
      <c r="P121" s="31">
        <f t="shared" si="36"/>
        <v>2.2953516911878573</v>
      </c>
      <c r="Q121" s="31">
        <f t="shared" si="37"/>
        <v>-0.7756046514059184</v>
      </c>
    </row>
    <row r="122" spans="2:17" ht="12.75">
      <c r="B122" s="31">
        <v>232</v>
      </c>
      <c r="C122" s="31"/>
      <c r="D122" s="31">
        <f t="shared" si="24"/>
        <v>-2.308730532471218</v>
      </c>
      <c r="E122" s="31">
        <f t="shared" si="25"/>
        <v>-2.955040326025208</v>
      </c>
      <c r="F122" s="7" t="s">
        <v>74</v>
      </c>
      <c r="H122" s="40">
        <v>116</v>
      </c>
      <c r="I122" s="31">
        <f t="shared" si="30"/>
        <v>1.4734251078294182E-16</v>
      </c>
      <c r="J122" s="31">
        <f t="shared" si="31"/>
        <v>1</v>
      </c>
      <c r="K122" s="31">
        <f t="shared" si="32"/>
        <v>0.7783814535997833</v>
      </c>
      <c r="L122" s="31">
        <f t="shared" si="33"/>
        <v>-0.24565445566835353</v>
      </c>
      <c r="M122" s="31">
        <f t="shared" si="34"/>
        <v>0.5777336766211343</v>
      </c>
      <c r="N122" s="31">
        <f t="shared" si="29"/>
        <v>107.51551339855581</v>
      </c>
      <c r="O122" s="31">
        <f t="shared" si="35"/>
        <v>2.436825839594471</v>
      </c>
      <c r="P122" s="31">
        <f t="shared" si="36"/>
        <v>2.323843619969622</v>
      </c>
      <c r="Q122" s="31">
        <f t="shared" si="37"/>
        <v>-0.7333968928498279</v>
      </c>
    </row>
    <row r="123" spans="2:17" ht="12.75">
      <c r="B123" s="31">
        <v>234</v>
      </c>
      <c r="C123" s="31"/>
      <c r="D123" s="31">
        <f t="shared" si="24"/>
        <v>-2.2041946960967747</v>
      </c>
      <c r="E123" s="31">
        <f t="shared" si="25"/>
        <v>-3.0338137289060527</v>
      </c>
      <c r="F123" s="7" t="s">
        <v>74</v>
      </c>
      <c r="H123" s="40">
        <v>117</v>
      </c>
      <c r="I123" s="31">
        <f t="shared" si="30"/>
        <v>1.4894251137087393E-16</v>
      </c>
      <c r="J123" s="31">
        <f t="shared" si="31"/>
        <v>1</v>
      </c>
      <c r="K123" s="31">
        <f t="shared" si="32"/>
        <v>0.7865119660568697</v>
      </c>
      <c r="L123" s="31">
        <f t="shared" si="33"/>
        <v>-0.2310446235535309</v>
      </c>
      <c r="M123" s="31">
        <f t="shared" si="34"/>
        <v>0.5727279538981528</v>
      </c>
      <c r="N123" s="31">
        <f t="shared" si="29"/>
        <v>106.37060245785307</v>
      </c>
      <c r="O123" s="31">
        <f t="shared" si="35"/>
        <v>2.4512268659402427</v>
      </c>
      <c r="P123" s="31">
        <f t="shared" si="36"/>
        <v>2.351850974355448</v>
      </c>
      <c r="Q123" s="31">
        <f t="shared" si="37"/>
        <v>-0.6908763584973472</v>
      </c>
    </row>
    <row r="124" spans="2:17" ht="12.75">
      <c r="B124" s="31">
        <v>236</v>
      </c>
      <c r="C124" s="31"/>
      <c r="D124" s="31">
        <f t="shared" si="24"/>
        <v>-2.0969733880152996</v>
      </c>
      <c r="E124" s="31">
        <f t="shared" si="25"/>
        <v>-3.108890897081407</v>
      </c>
      <c r="F124" s="7" t="s">
        <v>74</v>
      </c>
      <c r="H124" s="40">
        <v>118</v>
      </c>
      <c r="I124" s="31">
        <f t="shared" si="30"/>
        <v>1.5052834594766544E-16</v>
      </c>
      <c r="J124" s="31">
        <f t="shared" si="31"/>
        <v>1</v>
      </c>
      <c r="K124" s="31">
        <f t="shared" si="32"/>
        <v>0.794402899349983</v>
      </c>
      <c r="L124" s="31">
        <f t="shared" si="33"/>
        <v>-0.21636441300819403</v>
      </c>
      <c r="M124" s="31">
        <f t="shared" si="34"/>
        <v>0.5675477726922734</v>
      </c>
      <c r="N124" s="31">
        <f t="shared" si="29"/>
        <v>105.23558689213776</v>
      </c>
      <c r="O124" s="31">
        <f t="shared" si="35"/>
        <v>2.4660412499621547</v>
      </c>
      <c r="P124" s="31">
        <f t="shared" si="36"/>
        <v>2.379368433592894</v>
      </c>
      <c r="Q124" s="31">
        <f t="shared" si="37"/>
        <v>-0.6480473005395555</v>
      </c>
    </row>
    <row r="125" spans="2:17" ht="12.75">
      <c r="B125" s="31">
        <v>238</v>
      </c>
      <c r="C125" s="31"/>
      <c r="D125" s="31">
        <f t="shared" si="24"/>
        <v>-1.9871972408745189</v>
      </c>
      <c r="E125" s="31">
        <f t="shared" si="25"/>
        <v>-3.1801803605865975</v>
      </c>
      <c r="F125" s="7" t="s">
        <v>74</v>
      </c>
      <c r="H125" s="40">
        <v>119</v>
      </c>
      <c r="I125" s="31">
        <f t="shared" si="30"/>
        <v>1.5209953145274187E-16</v>
      </c>
      <c r="J125" s="31">
        <f t="shared" si="31"/>
        <v>1</v>
      </c>
      <c r="K125" s="31">
        <f t="shared" si="32"/>
        <v>0.8020518498244005</v>
      </c>
      <c r="L125" s="31">
        <f t="shared" si="33"/>
        <v>-0.201618295766686</v>
      </c>
      <c r="M125" s="31">
        <f t="shared" si="34"/>
        <v>0.5621947109368733</v>
      </c>
      <c r="N125" s="31">
        <f t="shared" si="29"/>
        <v>104.11053570902371</v>
      </c>
      <c r="O125" s="31">
        <f t="shared" si="35"/>
        <v>2.481257116352559</v>
      </c>
      <c r="P125" s="31">
        <f t="shared" si="36"/>
        <v>2.4063906472761993</v>
      </c>
      <c r="Q125" s="31">
        <f t="shared" si="37"/>
        <v>-0.6049139857466098</v>
      </c>
    </row>
    <row r="126" spans="2:17" ht="12.75">
      <c r="B126" s="31">
        <v>240</v>
      </c>
      <c r="C126" s="31"/>
      <c r="D126" s="31">
        <f t="shared" si="24"/>
        <v>-1.8750000000000018</v>
      </c>
      <c r="E126" s="31">
        <f t="shared" si="25"/>
        <v>-3.247595264191644</v>
      </c>
      <c r="F126" s="7" t="s">
        <v>74</v>
      </c>
      <c r="H126" s="40">
        <v>120</v>
      </c>
      <c r="I126" s="31">
        <f t="shared" si="30"/>
        <v>1.53655589287778E-16</v>
      </c>
      <c r="J126" s="31">
        <f t="shared" si="31"/>
        <v>1</v>
      </c>
      <c r="K126" s="31">
        <f t="shared" si="32"/>
        <v>0.8094564875357104</v>
      </c>
      <c r="L126" s="31">
        <f t="shared" si="33"/>
        <v>-0.18681076363916727</v>
      </c>
      <c r="M126" s="31">
        <f t="shared" si="34"/>
        <v>0.5566703992264195</v>
      </c>
      <c r="N126" s="31">
        <f t="shared" si="29"/>
        <v>102.99549801404957</v>
      </c>
      <c r="O126" s="31">
        <f t="shared" si="35"/>
        <v>2.496862533436408</v>
      </c>
      <c r="P126" s="31">
        <f t="shared" si="36"/>
        <v>2.4329122340270155</v>
      </c>
      <c r="Q126" s="31">
        <f t="shared" si="37"/>
        <v>-0.5614806963735759</v>
      </c>
    </row>
    <row r="127" spans="2:17" ht="12.75">
      <c r="B127" s="31">
        <v>242</v>
      </c>
      <c r="C127" s="31"/>
      <c r="D127" s="31">
        <f t="shared" si="24"/>
        <v>-1.7605183604470902</v>
      </c>
      <c r="E127" s="31">
        <f t="shared" si="25"/>
        <v>-3.3110534732209764</v>
      </c>
      <c r="F127" s="7" t="s">
        <v>74</v>
      </c>
      <c r="H127" s="40">
        <v>121</v>
      </c>
      <c r="I127" s="31">
        <f t="shared" si="30"/>
        <v>1.5519604546248345E-16</v>
      </c>
      <c r="J127" s="31">
        <f t="shared" si="31"/>
        <v>1</v>
      </c>
      <c r="K127" s="31">
        <f t="shared" si="32"/>
        <v>0.8166145569595364</v>
      </c>
      <c r="L127" s="31">
        <f t="shared" si="33"/>
        <v>-0.17194632714336716</v>
      </c>
      <c r="M127" s="31">
        <f t="shared" si="34"/>
        <v>0.550976520319774</v>
      </c>
      <c r="N127" s="31">
        <f t="shared" si="29"/>
        <v>101.89050379968877</v>
      </c>
      <c r="O127" s="31">
        <f t="shared" si="35"/>
        <v>2.5128455350465098</v>
      </c>
      <c r="P127" s="31">
        <f t="shared" si="36"/>
        <v>2.458927780140715</v>
      </c>
      <c r="Q127" s="31">
        <f t="shared" si="37"/>
        <v>-0.5177517310984441</v>
      </c>
    </row>
    <row r="128" spans="2:17" ht="12.75">
      <c r="B128" s="31">
        <v>244</v>
      </c>
      <c r="C128" s="31"/>
      <c r="D128" s="31">
        <f t="shared" si="24"/>
        <v>-1.6438918004590415</v>
      </c>
      <c r="E128" s="31">
        <f t="shared" si="25"/>
        <v>-3.370477673621876</v>
      </c>
      <c r="F128" s="7" t="s">
        <v>74</v>
      </c>
      <c r="H128" s="40">
        <v>122</v>
      </c>
      <c r="I128" s="31">
        <f t="shared" si="30"/>
        <v>1.5672043073898454E-16</v>
      </c>
      <c r="J128" s="31">
        <f t="shared" si="31"/>
        <v>1</v>
      </c>
      <c r="K128" s="31">
        <f t="shared" si="32"/>
        <v>0.8235238776785894</v>
      </c>
      <c r="L128" s="31">
        <f t="shared" si="33"/>
        <v>-0.15702951413063804</v>
      </c>
      <c r="M128" s="31">
        <f t="shared" si="34"/>
        <v>0.5451148086276096</v>
      </c>
      <c r="N128" s="31">
        <f t="shared" si="29"/>
        <v>100.79556476670341</v>
      </c>
      <c r="O128" s="31">
        <f t="shared" si="35"/>
        <v>2.5291941411592425</v>
      </c>
      <c r="P128" s="31">
        <f t="shared" si="36"/>
        <v>2.4844318381973376</v>
      </c>
      <c r="Q128" s="31">
        <f t="shared" si="37"/>
        <v>-0.4737314059946155</v>
      </c>
    </row>
    <row r="129" spans="2:17" ht="12.75">
      <c r="B129" s="31">
        <v>246</v>
      </c>
      <c r="C129" s="31"/>
      <c r="D129" s="31">
        <f t="shared" si="24"/>
        <v>-1.5252624115342504</v>
      </c>
      <c r="E129" s="31">
        <f t="shared" si="25"/>
        <v>-3.425795466159754</v>
      </c>
      <c r="F129" s="7" t="s">
        <v>74</v>
      </c>
      <c r="H129" s="40">
        <v>123</v>
      </c>
      <c r="I129" s="31">
        <f t="shared" si="30"/>
        <v>1.5822828077475915E-16</v>
      </c>
      <c r="J129" s="31">
        <f t="shared" si="31"/>
        <v>1</v>
      </c>
      <c r="K129" s="31">
        <f t="shared" si="32"/>
        <v>0.8301823450468466</v>
      </c>
      <c r="L129" s="31">
        <f t="shared" si="33"/>
        <v>-0.14206486840672528</v>
      </c>
      <c r="M129" s="31">
        <f t="shared" si="34"/>
        <v>0.5390870496840915</v>
      </c>
      <c r="N129" s="31">
        <f t="shared" si="29"/>
        <v>99.71067516952446</v>
      </c>
      <c r="O129" s="31">
        <f t="shared" si="35"/>
        <v>2.5458963772741154</v>
      </c>
      <c r="P129" s="31">
        <f t="shared" si="36"/>
        <v>2.509418925636156</v>
      </c>
      <c r="Q129" s="31">
        <f t="shared" si="37"/>
        <v>-0.4294240555401471</v>
      </c>
    </row>
    <row r="130" spans="2:17" ht="12.75">
      <c r="B130" s="31">
        <v>248</v>
      </c>
      <c r="C130" s="31"/>
      <c r="D130" s="31">
        <f t="shared" si="24"/>
        <v>-1.4047747253096712</v>
      </c>
      <c r="E130" s="31">
        <f t="shared" si="25"/>
        <v>-3.4769394546254526</v>
      </c>
      <c r="F130" s="7" t="s">
        <v>74</v>
      </c>
      <c r="H130" s="40">
        <v>124</v>
      </c>
      <c r="I130" s="31">
        <f t="shared" si="30"/>
        <v>1.5971913626407943E-16</v>
      </c>
      <c r="J130" s="31">
        <f t="shared" si="31"/>
        <v>1</v>
      </c>
      <c r="K130" s="31">
        <f t="shared" si="32"/>
        <v>0.8365879308306456</v>
      </c>
      <c r="L130" s="31">
        <f t="shared" si="33"/>
        <v>-0.12705694834768289</v>
      </c>
      <c r="M130" s="31">
        <f t="shared" si="34"/>
        <v>0.5328950796029862</v>
      </c>
      <c r="N130" s="31">
        <f t="shared" si="29"/>
        <v>98.6358126778938</v>
      </c>
      <c r="O130" s="31">
        <f t="shared" si="35"/>
        <v>2.562940292531804</v>
      </c>
      <c r="P130" s="31">
        <f t="shared" si="36"/>
        <v>2.533883523292885</v>
      </c>
      <c r="Q130" s="31">
        <f t="shared" si="37"/>
        <v>-0.3848340336662617</v>
      </c>
    </row>
    <row r="131" spans="2:17" ht="12.75">
      <c r="B131" s="31">
        <v>250</v>
      </c>
      <c r="C131" s="31"/>
      <c r="D131" s="31">
        <f t="shared" si="24"/>
        <v>-1.282575537471257</v>
      </c>
      <c r="E131" s="31">
        <f t="shared" si="25"/>
        <v>-3.5238473279471565</v>
      </c>
      <c r="F131" s="7" t="s">
        <v>74</v>
      </c>
      <c r="H131" s="40">
        <v>125</v>
      </c>
      <c r="I131" s="31">
        <f t="shared" si="30"/>
        <v>1.6119254307792112E-16</v>
      </c>
      <c r="J131" s="31">
        <f t="shared" si="31"/>
        <v>1</v>
      </c>
      <c r="K131" s="31">
        <f t="shared" si="32"/>
        <v>0.8427386838265044</v>
      </c>
      <c r="L131" s="31">
        <f t="shared" si="33"/>
        <v>-0.11201032551134515</v>
      </c>
      <c r="M131" s="31">
        <f t="shared" si="34"/>
        <v>0.5265407845183632</v>
      </c>
      <c r="N131" s="31">
        <f t="shared" si="29"/>
        <v>97.57093924758921</v>
      </c>
      <c r="O131" s="31">
        <f t="shared" si="35"/>
        <v>2.5803139765754315</v>
      </c>
      <c r="P131" s="31">
        <f t="shared" si="36"/>
        <v>2.5578200738986023</v>
      </c>
      <c r="Q131" s="31">
        <f t="shared" si="37"/>
        <v>-0.3399657148476383</v>
      </c>
    </row>
    <row r="132" spans="2:17" ht="12.75">
      <c r="B132" s="31">
        <v>252</v>
      </c>
      <c r="C132" s="31"/>
      <c r="D132" s="31">
        <f t="shared" si="24"/>
        <v>-1.1588137289060534</v>
      </c>
      <c r="E132" s="31">
        <f t="shared" si="25"/>
        <v>-3.5664619361068257</v>
      </c>
      <c r="F132" s="7" t="s">
        <v>74</v>
      </c>
      <c r="H132" s="40">
        <v>126</v>
      </c>
      <c r="I132" s="31">
        <f t="shared" si="30"/>
        <v>1.6264805240229548E-16</v>
      </c>
      <c r="J132" s="31">
        <f t="shared" si="31"/>
        <v>1</v>
      </c>
      <c r="K132" s="31">
        <f t="shared" si="32"/>
        <v>0.8486327304554766</v>
      </c>
      <c r="L132" s="31">
        <f t="shared" si="33"/>
        <v>-0.09692958324478868</v>
      </c>
      <c r="M132" s="31">
        <f t="shared" si="34"/>
        <v>0.520026100010061</v>
      </c>
      <c r="N132" s="31">
        <f t="shared" si="29"/>
        <v>96.51600199366634</v>
      </c>
      <c r="O132" s="31">
        <f t="shared" si="35"/>
        <v>2.5980055751688678</v>
      </c>
      <c r="P132" s="31">
        <f t="shared" si="36"/>
        <v>2.58122298053939</v>
      </c>
      <c r="Q132" s="31">
        <f t="shared" si="37"/>
        <v>-0.2948234952371789</v>
      </c>
    </row>
    <row r="133" spans="2:17" ht="12.75">
      <c r="B133" s="31">
        <v>254</v>
      </c>
      <c r="C133" s="31"/>
      <c r="D133" s="31">
        <f t="shared" si="24"/>
        <v>-1.0336400843137459</v>
      </c>
      <c r="E133" s="31">
        <f t="shared" si="25"/>
        <v>-3.6047313597686963</v>
      </c>
      <c r="F133" s="7" t="s">
        <v>74</v>
      </c>
      <c r="H133" s="40">
        <v>127</v>
      </c>
      <c r="I133" s="31">
        <f t="shared" si="30"/>
        <v>1.6408522087496253E-16</v>
      </c>
      <c r="J133" s="31">
        <f t="shared" si="31"/>
        <v>1</v>
      </c>
      <c r="K133" s="31">
        <f t="shared" si="32"/>
        <v>0.8542682753338623</v>
      </c>
      <c r="L133" s="31">
        <f t="shared" si="33"/>
        <v>-0.08181931528819752</v>
      </c>
      <c r="M133" s="31">
        <f t="shared" si="34"/>
        <v>0.5133530105140895</v>
      </c>
      <c r="N133" s="31">
        <f t="shared" si="29"/>
        <v>95.47093406027054</v>
      </c>
      <c r="O133" s="31">
        <f t="shared" si="35"/>
        <v>2.616003304593787</v>
      </c>
      <c r="P133" s="31">
        <f t="shared" si="36"/>
        <v>2.6040866050757856</v>
      </c>
      <c r="Q133" s="31">
        <f t="shared" si="37"/>
        <v>-0.24941179384801349</v>
      </c>
    </row>
    <row r="134" spans="2:17" ht="12.75">
      <c r="B134" s="31">
        <v>256</v>
      </c>
      <c r="C134" s="31"/>
      <c r="D134" s="31">
        <f t="shared" si="24"/>
        <v>-0.9072071084987542</v>
      </c>
      <c r="E134" s="31">
        <f t="shared" si="25"/>
        <v>-3.638608973534987</v>
      </c>
      <c r="F134" s="7" t="s">
        <v>74</v>
      </c>
      <c r="H134" s="40">
        <v>128</v>
      </c>
      <c r="I134" s="31">
        <f aca="true" t="shared" si="38" ref="I134:I165">(X_2*X_S+Y_2*Y_S+Z_2*Z_S)*(1-COS(RADIANS(H134)))</f>
        <v>1.6550361072048322E-16</v>
      </c>
      <c r="J134" s="31">
        <f aca="true" t="shared" si="39" ref="J134:J165">SIGN(COS(RADIANS(H134))*Z_S+I134*Z_2+(SIN(RADIANS(H134))*(X_2*Y_S-Y_2*X_S)))</f>
        <v>1</v>
      </c>
      <c r="K134" s="31">
        <f aca="true" t="shared" si="40" ref="K134:K165">(COS(RADIANS(H134))*X_S+I134*X_2+(SIN(RADIANS(H134))*(Y_2*Z_S-Z_2*Y_S)))*J134</f>
        <v>0.8596436018200986</v>
      </c>
      <c r="L134" s="31">
        <f aca="true" t="shared" si="41" ref="L134:L165">(COS(RADIANS(H134))*Y_S+I134*Y_2-(SIN(RADIANS(H134))*(X_2*Z_S-Z_2*X_S)))*J134</f>
        <v>-0.06668412437556842</v>
      </c>
      <c r="M134" s="31">
        <f aca="true" t="shared" si="42" ref="M134:M165">(COS(RADIANS(H134))*Z_S+I134*Z_2+(SIN(RADIANS(H134))*(X_2*Y_S-Y_2*X_S)))*J134</f>
        <v>0.5065235487181534</v>
      </c>
      <c r="N134" s="31">
        <f t="shared" si="29"/>
        <v>94.43565548169468</v>
      </c>
      <c r="O134" s="31">
        <f t="shared" si="35"/>
        <v>2.6342954648541164</v>
      </c>
      <c r="P134" s="31">
        <f t="shared" si="36"/>
        <v>2.6264052665211257</v>
      </c>
      <c r="Q134" s="31">
        <f t="shared" si="37"/>
        <v>-0.20373505378569093</v>
      </c>
    </row>
    <row r="135" spans="2:17" ht="12.75">
      <c r="B135" s="31">
        <v>258</v>
      </c>
      <c r="C135" s="31"/>
      <c r="D135" s="31">
        <f aca="true" t="shared" si="43" ref="D135:D186">+Xcenter+Radius*COS(RADIANS(B135))</f>
        <v>-0.7796688405665992</v>
      </c>
      <c r="E135" s="31">
        <f aca="true" t="shared" si="44" ref="E135:E186">+Ycenter+Radius*SIN(RADIANS(B135))</f>
        <v>-3.668053502751771</v>
      </c>
      <c r="F135" s="7" t="s">
        <v>74</v>
      </c>
      <c r="H135" s="40">
        <v>129</v>
      </c>
      <c r="I135" s="31">
        <f t="shared" si="38"/>
        <v>1.6690278988357044E-16</v>
      </c>
      <c r="J135" s="31">
        <f t="shared" si="39"/>
        <v>1</v>
      </c>
      <c r="K135" s="31">
        <f t="shared" si="40"/>
        <v>0.8647570725376659</v>
      </c>
      <c r="L135" s="31">
        <f t="shared" si="41"/>
        <v>-0.0515286208326709</v>
      </c>
      <c r="M135" s="31">
        <f t="shared" si="42"/>
        <v>0.49953979494247386</v>
      </c>
      <c r="N135" s="31">
        <f t="shared" si="29"/>
        <v>93.41007402996891</v>
      </c>
      <c r="O135" s="31">
        <f t="shared" si="35"/>
        <v>2.6528704517223347</v>
      </c>
      <c r="P135" s="31">
        <f t="shared" si="36"/>
        <v>2.648173239377889</v>
      </c>
      <c r="Q135" s="31">
        <f t="shared" si="37"/>
        <v>-0.15779774353355788</v>
      </c>
    </row>
    <row r="136" spans="2:17" ht="12.75">
      <c r="B136" s="31">
        <v>260</v>
      </c>
      <c r="C136" s="31"/>
      <c r="D136" s="31">
        <f t="shared" si="43"/>
        <v>-0.6511806662509887</v>
      </c>
      <c r="E136" s="31">
        <f t="shared" si="44"/>
        <v>-3.6930290737957803</v>
      </c>
      <c r="F136" s="7" t="s">
        <v>74</v>
      </c>
      <c r="H136" s="40">
        <v>130</v>
      </c>
      <c r="I136" s="31">
        <f t="shared" si="38"/>
        <v>1.6828233216069697E-16</v>
      </c>
      <c r="J136" s="31">
        <f t="shared" si="39"/>
        <v>1</v>
      </c>
      <c r="K136" s="31">
        <f t="shared" si="40"/>
        <v>0.8696071298738485</v>
      </c>
      <c r="L136" s="31">
        <f t="shared" si="41"/>
        <v>-0.03635742117269841</v>
      </c>
      <c r="M136" s="31">
        <f t="shared" si="42"/>
        <v>0.49240387650610407</v>
      </c>
      <c r="N136" s="31">
        <f t="shared" si="29"/>
        <v>92.39408604486464</v>
      </c>
      <c r="O136" s="31">
        <f aca="true" t="shared" si="45" ref="O136:O167">IF(UPPER(Projection)="EQUAL AREA",SQRT(2)*(SIN(ACOS(ABS(M136))/2))*Radius,TAN(ACOS(ABS(M136))/2)*Radius)</f>
        <v>2.6717167676669833</v>
      </c>
      <c r="P136" s="31">
        <f aca="true" t="shared" si="46" ref="P136:P167">+Xcenter+SIN(RADIANS(N136))*O136</f>
        <v>2.6693847519311587</v>
      </c>
      <c r="Q136" s="31">
        <f aca="true" t="shared" si="47" ref="Q136:Q167">Ycenter+COS(RADIANS(N136))*O136</f>
        <v>-0.11160435829455455</v>
      </c>
    </row>
    <row r="137" spans="2:17" ht="12.75">
      <c r="B137" s="31">
        <v>262</v>
      </c>
      <c r="C137" s="31"/>
      <c r="D137" s="31">
        <f t="shared" si="43"/>
        <v>-0.5218991286002469</v>
      </c>
      <c r="E137" s="31">
        <f t="shared" si="44"/>
        <v>-3.7135052577808882</v>
      </c>
      <c r="F137" s="7" t="s">
        <v>74</v>
      </c>
      <c r="H137" s="40">
        <v>131</v>
      </c>
      <c r="I137" s="31">
        <f t="shared" si="38"/>
        <v>1.6964181732992124E-16</v>
      </c>
      <c r="J137" s="31">
        <f t="shared" si="39"/>
        <v>1</v>
      </c>
      <c r="K137" s="31">
        <f t="shared" si="40"/>
        <v>0.8741922964541979</v>
      </c>
      <c r="L137" s="31">
        <f t="shared" si="41"/>
        <v>-0.02117514669003484</v>
      </c>
      <c r="M137" s="31">
        <f t="shared" si="42"/>
        <v>0.48511796707892724</v>
      </c>
      <c r="N137" s="31">
        <f aca="true" t="shared" si="48" ref="N137:N187">IF(AND(K137&lt;0,L137&gt;=0),450-DEGREES(ATAN2(K137,L137)),90-DEGREES(ATAN2(K137,L137)))</f>
        <v>91.38757724276506</v>
      </c>
      <c r="O137" s="31">
        <f t="shared" si="45"/>
        <v>2.6908230317047206</v>
      </c>
      <c r="P137" s="31">
        <f t="shared" si="46"/>
        <v>2.690033984498402</v>
      </c>
      <c r="Q137" s="31">
        <f t="shared" si="47"/>
        <v>-0.06515942139272403</v>
      </c>
    </row>
    <row r="138" spans="2:17" ht="12.75">
      <c r="B138" s="31">
        <v>264</v>
      </c>
      <c r="C138" s="31"/>
      <c r="D138" s="31">
        <f t="shared" si="43"/>
        <v>-0.3919817372537001</v>
      </c>
      <c r="E138" s="31">
        <f t="shared" si="44"/>
        <v>-3.7294571076310254</v>
      </c>
      <c r="F138" s="7" t="s">
        <v>74</v>
      </c>
      <c r="H138" s="40">
        <v>132</v>
      </c>
      <c r="I138" s="31">
        <f t="shared" si="38"/>
        <v>1.7098083127889106E-16</v>
      </c>
      <c r="J138" s="31">
        <f t="shared" si="39"/>
        <v>1</v>
      </c>
      <c r="K138" s="31">
        <f t="shared" si="40"/>
        <v>0.8785111755925565</v>
      </c>
      <c r="L138" s="31">
        <f t="shared" si="41"/>
        <v>-0.005986422052560947</v>
      </c>
      <c r="M138" s="31">
        <f t="shared" si="42"/>
        <v>0.4776842860195347</v>
      </c>
      <c r="N138" s="31">
        <f t="shared" si="48"/>
        <v>90.39042350139759</v>
      </c>
      <c r="O138" s="31">
        <f t="shared" si="45"/>
        <v>2.7101779882233368</v>
      </c>
      <c r="P138" s="31">
        <f t="shared" si="46"/>
        <v>2.710115067634733</v>
      </c>
      <c r="Q138" s="31">
        <f t="shared" si="47"/>
        <v>-0.01846748573792819</v>
      </c>
    </row>
    <row r="139" spans="2:17" ht="12.75">
      <c r="B139" s="31">
        <v>266</v>
      </c>
      <c r="C139" s="31"/>
      <c r="D139" s="31">
        <f t="shared" si="43"/>
        <v>-0.2615867765404709</v>
      </c>
      <c r="E139" s="31">
        <f t="shared" si="44"/>
        <v>-3.740865188474341</v>
      </c>
      <c r="F139" s="7" t="s">
        <v>74</v>
      </c>
      <c r="H139" s="40">
        <v>133</v>
      </c>
      <c r="I139" s="31">
        <f t="shared" si="38"/>
        <v>1.7229896613098628E-16</v>
      </c>
      <c r="J139" s="31">
        <f t="shared" si="39"/>
        <v>1</v>
      </c>
      <c r="K139" s="31">
        <f t="shared" si="40"/>
        <v>0.8825624517165008</v>
      </c>
      <c r="L139" s="31">
        <f t="shared" si="41"/>
        <v>0.009204126107061672</v>
      </c>
      <c r="M139" s="31">
        <f t="shared" si="42"/>
        <v>0.47010509769918923</v>
      </c>
      <c r="N139" s="31">
        <f t="shared" si="48"/>
        <v>89.40249161793456</v>
      </c>
      <c r="O139" s="31">
        <f t="shared" si="45"/>
        <v>2.729770514824488</v>
      </c>
      <c r="P139" s="31">
        <f t="shared" si="46"/>
        <v>2.729622080292906</v>
      </c>
      <c r="Q139" s="31">
        <f t="shared" si="47"/>
        <v>0.028466864642578683</v>
      </c>
    </row>
    <row r="140" spans="2:17" ht="12.75">
      <c r="B140" s="31">
        <v>268</v>
      </c>
      <c r="C140" s="31"/>
      <c r="D140" s="31">
        <f t="shared" si="43"/>
        <v>-0.13087311263437784</v>
      </c>
      <c r="E140" s="31">
        <f t="shared" si="44"/>
        <v>-3.7477156013216093</v>
      </c>
      <c r="F140" s="7" t="s">
        <v>74</v>
      </c>
      <c r="H140" s="40">
        <v>134</v>
      </c>
      <c r="I140" s="31">
        <f t="shared" si="38"/>
        <v>1.735958203695619E-16</v>
      </c>
      <c r="J140" s="31">
        <f t="shared" si="39"/>
        <v>1</v>
      </c>
      <c r="K140" s="31">
        <f t="shared" si="40"/>
        <v>0.886344890768078</v>
      </c>
      <c r="L140" s="31">
        <f t="shared" si="41"/>
        <v>0.024391870600710075</v>
      </c>
      <c r="M140" s="31">
        <f t="shared" si="42"/>
        <v>0.46238271081207405</v>
      </c>
      <c r="N140" s="31">
        <f t="shared" si="48"/>
        <v>88.42364003844311</v>
      </c>
      <c r="O140" s="31">
        <f t="shared" si="45"/>
        <v>2.7495896292365534</v>
      </c>
      <c r="P140" s="31">
        <f t="shared" si="46"/>
        <v>2.748549047937348</v>
      </c>
      <c r="Q140" s="31">
        <f t="shared" si="47"/>
        <v>0.0756390130019207</v>
      </c>
    </row>
    <row r="141" spans="2:17" ht="12.75">
      <c r="B141" s="31">
        <v>270</v>
      </c>
      <c r="C141" s="31"/>
      <c r="D141" s="31">
        <f t="shared" si="43"/>
        <v>-6.891460058860988E-16</v>
      </c>
      <c r="E141" s="31">
        <f t="shared" si="44"/>
        <v>-3.75</v>
      </c>
      <c r="F141" s="7" t="s">
        <v>74</v>
      </c>
      <c r="H141" s="40">
        <v>135</v>
      </c>
      <c r="I141" s="31">
        <f t="shared" si="38"/>
        <v>1.748709989602539E-16</v>
      </c>
      <c r="J141" s="31">
        <f t="shared" si="39"/>
        <v>1</v>
      </c>
      <c r="K141" s="31">
        <f t="shared" si="40"/>
        <v>0.8898573405797112</v>
      </c>
      <c r="L141" s="31">
        <f t="shared" si="41"/>
        <v>0.03957218509428373</v>
      </c>
      <c r="M141" s="31">
        <f t="shared" si="42"/>
        <v>0.45451947767204376</v>
      </c>
      <c r="N141" s="31">
        <f t="shared" si="48"/>
        <v>87.45371955710513</v>
      </c>
      <c r="O141" s="31">
        <f t="shared" si="45"/>
        <v>2.7696244953489426</v>
      </c>
      <c r="P141" s="31">
        <f t="shared" si="46"/>
        <v>2.7668899406115304</v>
      </c>
      <c r="Q141" s="31">
        <f t="shared" si="47"/>
        <v>0.12304430819670596</v>
      </c>
    </row>
    <row r="142" spans="2:17" ht="12.75">
      <c r="B142" s="31">
        <v>272</v>
      </c>
      <c r="C142" s="31"/>
      <c r="D142" s="31">
        <f t="shared" si="43"/>
        <v>0.1308731126343798</v>
      </c>
      <c r="E142" s="31">
        <f t="shared" si="44"/>
        <v>-3.7477156013216093</v>
      </c>
      <c r="F142" s="7" t="s">
        <v>74</v>
      </c>
      <c r="H142" s="40">
        <v>136</v>
      </c>
      <c r="I142" s="31">
        <f t="shared" si="38"/>
        <v>1.761241134713107E-16</v>
      </c>
      <c r="J142" s="31">
        <f t="shared" si="39"/>
        <v>1</v>
      </c>
      <c r="K142" s="31">
        <f t="shared" si="40"/>
        <v>0.8930987312251623</v>
      </c>
      <c r="L142" s="31">
        <f t="shared" si="41"/>
        <v>0.05474044551693369</v>
      </c>
      <c r="M142" s="31">
        <f t="shared" si="42"/>
        <v>0.44651779349608534</v>
      </c>
      <c r="N142" s="31">
        <f t="shared" si="48"/>
        <v>86.49257398402834</v>
      </c>
      <c r="O142" s="31">
        <f t="shared" si="45"/>
        <v>2.78986442841965</v>
      </c>
      <c r="P142" s="31">
        <f t="shared" si="46"/>
        <v>2.7846386709581035</v>
      </c>
      <c r="Q142" s="31">
        <f t="shared" si="47"/>
        <v>0.17067806293131876</v>
      </c>
    </row>
    <row r="143" spans="2:17" ht="12.75">
      <c r="B143" s="31">
        <v>274</v>
      </c>
      <c r="C143" s="31"/>
      <c r="D143" s="31">
        <f t="shared" si="43"/>
        <v>0.2615867765404696</v>
      </c>
      <c r="E143" s="31">
        <f t="shared" si="44"/>
        <v>-3.7408651884743414</v>
      </c>
      <c r="F143" s="7" t="s">
        <v>74</v>
      </c>
      <c r="H143" s="40">
        <v>137</v>
      </c>
      <c r="I143" s="31">
        <f t="shared" si="38"/>
        <v>1.7735478219191295E-16</v>
      </c>
      <c r="J143" s="31">
        <f t="shared" si="39"/>
        <v>1</v>
      </c>
      <c r="K143" s="31">
        <f t="shared" si="40"/>
        <v>0.8960680753454406</v>
      </c>
      <c r="L143" s="31">
        <f t="shared" si="41"/>
        <v>0.06989203146959616</v>
      </c>
      <c r="M143" s="31">
        <f t="shared" si="42"/>
        <v>0.4383800956747133</v>
      </c>
      <c r="N143" s="31">
        <f t="shared" si="48"/>
        <v>85.54004078083467</v>
      </c>
      <c r="O143" s="31">
        <f t="shared" si="45"/>
        <v>2.8102988995077274</v>
      </c>
      <c r="P143" s="31">
        <f t="shared" si="46"/>
        <v>2.801789092191239</v>
      </c>
      <c r="Q143" s="31">
        <f t="shared" si="47"/>
        <v>0.2185355519189883</v>
      </c>
    </row>
    <row r="144" spans="2:17" ht="12.75">
      <c r="B144" s="31">
        <v>276</v>
      </c>
      <c r="C144" s="31"/>
      <c r="D144" s="31">
        <f t="shared" si="43"/>
        <v>0.39198173725369867</v>
      </c>
      <c r="E144" s="31">
        <f t="shared" si="44"/>
        <v>-3.7294571076310254</v>
      </c>
      <c r="F144" s="7" t="s">
        <v>74</v>
      </c>
      <c r="H144" s="40">
        <v>138</v>
      </c>
      <c r="I144" s="31">
        <f t="shared" si="38"/>
        <v>1.7856263024844662E-16</v>
      </c>
      <c r="J144" s="31">
        <f t="shared" si="39"/>
        <v>1</v>
      </c>
      <c r="K144" s="31">
        <f t="shared" si="40"/>
        <v>0.8987644684495621</v>
      </c>
      <c r="L144" s="31">
        <f t="shared" si="41"/>
        <v>0.08502232763241374</v>
      </c>
      <c r="M144" s="31">
        <f t="shared" si="42"/>
        <v>0.4301088630295153</v>
      </c>
      <c r="N144" s="31">
        <f t="shared" si="48"/>
        <v>84.59595166353748</v>
      </c>
      <c r="O144" s="31">
        <f t="shared" si="45"/>
        <v>2.8309175391818533</v>
      </c>
      <c r="P144" s="31">
        <f t="shared" si="46"/>
        <v>2.8183349960207247</v>
      </c>
      <c r="Q144" s="31">
        <f t="shared" si="47"/>
        <v>0.26661200995510703</v>
      </c>
    </row>
    <row r="145" spans="2:17" ht="12.75">
      <c r="B145" s="31">
        <v>278</v>
      </c>
      <c r="C145" s="31"/>
      <c r="D145" s="31">
        <f t="shared" si="43"/>
        <v>0.5218991286002455</v>
      </c>
      <c r="E145" s="31">
        <f t="shared" si="44"/>
        <v>-3.7135052577808887</v>
      </c>
      <c r="F145" s="7" t="s">
        <v>74</v>
      </c>
      <c r="H145" s="40">
        <v>139</v>
      </c>
      <c r="I145" s="31">
        <f t="shared" si="38"/>
        <v>1.797472897186931E-16</v>
      </c>
      <c r="J145" s="31">
        <f t="shared" si="39"/>
        <v>1</v>
      </c>
      <c r="K145" s="31">
        <f t="shared" si="40"/>
        <v>0.9011870891900673</v>
      </c>
      <c r="L145" s="31">
        <f t="shared" si="41"/>
        <v>0.10012672517060511</v>
      </c>
      <c r="M145" s="31">
        <f t="shared" si="42"/>
        <v>0.4217066150580802</v>
      </c>
      <c r="N145" s="31">
        <f t="shared" si="48"/>
        <v>83.6601331725112</v>
      </c>
      <c r="O145" s="31">
        <f t="shared" si="45"/>
        <v>2.8517101405552685</v>
      </c>
      <c r="P145" s="31">
        <f t="shared" si="46"/>
        <v>2.834270110527417</v>
      </c>
      <c r="Q145" s="31">
        <f t="shared" si="47"/>
        <v>0.3149026298979599</v>
      </c>
    </row>
    <row r="146" spans="2:17" ht="12.75">
      <c r="B146" s="31">
        <v>280</v>
      </c>
      <c r="C146" s="31"/>
      <c r="D146" s="31">
        <f t="shared" si="43"/>
        <v>0.6511806662509874</v>
      </c>
      <c r="E146" s="31">
        <f t="shared" si="44"/>
        <v>-3.6930290737957803</v>
      </c>
      <c r="F146" s="7" t="s">
        <v>74</v>
      </c>
      <c r="H146" s="40">
        <v>140</v>
      </c>
      <c r="I146" s="31">
        <f t="shared" si="38"/>
        <v>1.8090839974390154E-16</v>
      </c>
      <c r="J146" s="31">
        <f t="shared" si="39"/>
        <v>1</v>
      </c>
      <c r="K146" s="31">
        <f t="shared" si="40"/>
        <v>0.9033351996132095</v>
      </c>
      <c r="L146" s="31">
        <f t="shared" si="41"/>
        <v>0.11520062313835966</v>
      </c>
      <c r="M146" s="31">
        <f t="shared" si="42"/>
        <v>0.41317591116653496</v>
      </c>
      <c r="N146" s="31">
        <f t="shared" si="48"/>
        <v>82.73240720961233</v>
      </c>
      <c r="O146" s="31">
        <f t="shared" si="45"/>
        <v>2.872666661696167</v>
      </c>
      <c r="P146" s="31">
        <f t="shared" si="46"/>
        <v>2.849588097989768</v>
      </c>
      <c r="Q146" s="31">
        <f t="shared" si="47"/>
        <v>0.3634025605518694</v>
      </c>
    </row>
    <row r="147" spans="2:17" ht="12.75">
      <c r="B147" s="31">
        <v>282</v>
      </c>
      <c r="C147" s="31"/>
      <c r="D147" s="31">
        <f t="shared" si="43"/>
        <v>0.7796688405665978</v>
      </c>
      <c r="E147" s="31">
        <f t="shared" si="44"/>
        <v>-3.668053502751771</v>
      </c>
      <c r="F147" s="7" t="s">
        <v>74</v>
      </c>
      <c r="H147" s="40">
        <v>141</v>
      </c>
      <c r="I147" s="31">
        <f t="shared" si="38"/>
        <v>1.8204560663871047E-16</v>
      </c>
      <c r="J147" s="31">
        <f t="shared" si="39"/>
        <v>1</v>
      </c>
      <c r="K147" s="31">
        <f t="shared" si="40"/>
        <v>0.9052081453837452</v>
      </c>
      <c r="L147" s="31">
        <f t="shared" si="41"/>
        <v>0.1302394298803332</v>
      </c>
      <c r="M147" s="31">
        <f t="shared" si="42"/>
        <v>0.4045193498899232</v>
      </c>
      <c r="N147" s="31">
        <f t="shared" si="48"/>
        <v>81.81259154273377</v>
      </c>
      <c r="O147" s="31">
        <f t="shared" si="45"/>
        <v>2.893777227461187</v>
      </c>
      <c r="P147" s="31">
        <f t="shared" si="46"/>
        <v>2.8642825526612468</v>
      </c>
      <c r="Q147" s="31">
        <f t="shared" si="47"/>
        <v>0.4121069044475313</v>
      </c>
    </row>
    <row r="148" spans="2:17" ht="12.75">
      <c r="B148" s="31">
        <v>284</v>
      </c>
      <c r="C148" s="31"/>
      <c r="D148" s="31">
        <f t="shared" si="43"/>
        <v>0.907207108498753</v>
      </c>
      <c r="E148" s="31">
        <f t="shared" si="44"/>
        <v>-3.6386089735349874</v>
      </c>
      <c r="F148" s="7" t="s">
        <v>74</v>
      </c>
      <c r="H148" s="40">
        <v>142</v>
      </c>
      <c r="I148" s="31">
        <f t="shared" si="38"/>
        <v>1.8315856399888326E-16</v>
      </c>
      <c r="J148" s="31">
        <f t="shared" si="39"/>
        <v>1</v>
      </c>
      <c r="K148" s="31">
        <f t="shared" si="40"/>
        <v>0.9068053559842487</v>
      </c>
      <c r="L148" s="31">
        <f t="shared" si="41"/>
        <v>0.1452385644303072</v>
      </c>
      <c r="M148" s="31">
        <f t="shared" si="42"/>
        <v>0.39573956810066835</v>
      </c>
      <c r="N148" s="31">
        <f t="shared" si="48"/>
        <v>80.90050027826783</v>
      </c>
      <c r="O148" s="31">
        <f t="shared" si="45"/>
        <v>2.9150321307979357</v>
      </c>
      <c r="P148" s="31">
        <f t="shared" si="46"/>
        <v>2.878346998498554</v>
      </c>
      <c r="Q148" s="31">
        <f t="shared" si="47"/>
        <v>0.46101071551398615</v>
      </c>
    </row>
    <row r="149" spans="2:17" ht="12.75">
      <c r="B149" s="31">
        <v>286</v>
      </c>
      <c r="C149" s="31"/>
      <c r="D149" s="31">
        <f t="shared" si="43"/>
        <v>1.0336400843137477</v>
      </c>
      <c r="E149" s="31">
        <f t="shared" si="44"/>
        <v>-3.6047313597686954</v>
      </c>
      <c r="F149" s="7" t="s">
        <v>74</v>
      </c>
      <c r="H149" s="40">
        <v>143</v>
      </c>
      <c r="I149" s="31">
        <f t="shared" si="38"/>
        <v>1.8424693280682663E-16</v>
      </c>
      <c r="J149" s="31">
        <f t="shared" si="39"/>
        <v>1</v>
      </c>
      <c r="K149" s="31">
        <f t="shared" si="40"/>
        <v>0.9081263448888987</v>
      </c>
      <c r="L149" s="31">
        <f t="shared" si="41"/>
        <v>0.16019345790659845</v>
      </c>
      <c r="M149" s="31">
        <f t="shared" si="42"/>
        <v>0.38683924020535443</v>
      </c>
      <c r="N149" s="31">
        <f t="shared" si="48"/>
        <v>79.99594430211582</v>
      </c>
      <c r="O149" s="31">
        <f t="shared" si="45"/>
        <v>2.9364218335607375</v>
      </c>
      <c r="P149" s="31">
        <f t="shared" si="46"/>
        <v>2.8917748868407225</v>
      </c>
      <c r="Q149" s="31">
        <f t="shared" si="47"/>
        <v>0.5101089966365326</v>
      </c>
    </row>
    <row r="150" spans="2:17" ht="12.75">
      <c r="B150" s="31">
        <v>288</v>
      </c>
      <c r="C150" s="31"/>
      <c r="D150" s="31">
        <f t="shared" si="43"/>
        <v>1.158813728906052</v>
      </c>
      <c r="E150" s="31">
        <f t="shared" si="44"/>
        <v>-3.566461936106826</v>
      </c>
      <c r="F150" s="7" t="s">
        <v>74</v>
      </c>
      <c r="H150" s="40">
        <v>144</v>
      </c>
      <c r="I150" s="31">
        <f t="shared" si="38"/>
        <v>1.8531038153485837E-16</v>
      </c>
      <c r="J150" s="31">
        <f t="shared" si="39"/>
        <v>1</v>
      </c>
      <c r="K150" s="31">
        <f t="shared" si="40"/>
        <v>0.9091707097116779</v>
      </c>
      <c r="L150" s="31">
        <f t="shared" si="41"/>
        <v>0.17509955490378215</v>
      </c>
      <c r="M150" s="31">
        <f t="shared" si="42"/>
        <v>0.3778210773300784</v>
      </c>
      <c r="N150" s="31">
        <f t="shared" si="48"/>
        <v>79.09873169001987</v>
      </c>
      <c r="O150" s="31">
        <f t="shared" si="45"/>
        <v>2.9579369668817783</v>
      </c>
      <c r="P150" s="31">
        <f t="shared" si="46"/>
        <v>2.9045595940392626</v>
      </c>
      <c r="Q150" s="31">
        <f t="shared" si="47"/>
        <v>0.5593966970945113</v>
      </c>
    </row>
    <row r="151" spans="2:17" ht="12.75">
      <c r="B151" s="31">
        <v>290</v>
      </c>
      <c r="C151" s="31"/>
      <c r="D151" s="31">
        <f t="shared" si="43"/>
        <v>1.2825755374712586</v>
      </c>
      <c r="E151" s="31">
        <f t="shared" si="44"/>
        <v>-3.523847327947156</v>
      </c>
      <c r="F151" s="7" t="s">
        <v>74</v>
      </c>
      <c r="H151" s="40">
        <v>145</v>
      </c>
      <c r="I151" s="31">
        <f t="shared" si="38"/>
        <v>1.8634858624619406E-16</v>
      </c>
      <c r="J151" s="31">
        <f t="shared" si="39"/>
        <v>1</v>
      </c>
      <c r="K151" s="31">
        <f t="shared" si="40"/>
        <v>0.9099381323289448</v>
      </c>
      <c r="L151" s="31">
        <f t="shared" si="41"/>
        <v>0.189952314880315</v>
      </c>
      <c r="M151" s="31">
        <f t="shared" si="42"/>
        <v>0.36868782649461235</v>
      </c>
      <c r="N151" s="31">
        <f t="shared" si="48"/>
        <v>78.20866808810476</v>
      </c>
      <c r="O151" s="31">
        <f t="shared" si="45"/>
        <v>2.979568331137837</v>
      </c>
      <c r="P151" s="31">
        <f t="shared" si="46"/>
        <v>2.9166944190397253</v>
      </c>
      <c r="Q151" s="31">
        <f t="shared" si="47"/>
        <v>0.6088687098726924</v>
      </c>
    </row>
    <row r="152" spans="2:17" ht="12.75">
      <c r="B152" s="31">
        <v>292</v>
      </c>
      <c r="C152" s="31"/>
      <c r="D152" s="31">
        <f t="shared" si="43"/>
        <v>1.4047747253096698</v>
      </c>
      <c r="E152" s="31">
        <f t="shared" si="44"/>
        <v>-3.4769394546254526</v>
      </c>
      <c r="F152" s="7" t="s">
        <v>74</v>
      </c>
      <c r="H152" s="40">
        <v>146</v>
      </c>
      <c r="I152" s="31">
        <f t="shared" si="38"/>
        <v>1.873612306936213E-16</v>
      </c>
      <c r="J152" s="31">
        <f t="shared" si="39"/>
        <v>1</v>
      </c>
      <c r="K152" s="31">
        <f t="shared" si="40"/>
        <v>0.9104283789763354</v>
      </c>
      <c r="L152" s="31">
        <f t="shared" si="41"/>
        <v>0.2047472135416255</v>
      </c>
      <c r="M152" s="31">
        <f t="shared" si="42"/>
        <v>0.3594422697756372</v>
      </c>
      <c r="N152" s="31">
        <f t="shared" si="48"/>
        <v>77.32555706460867</v>
      </c>
      <c r="O152" s="31">
        <f t="shared" si="45"/>
        <v>3.001306895550687</v>
      </c>
      <c r="P152" s="31">
        <f t="shared" si="46"/>
        <v>2.928172580915192</v>
      </c>
      <c r="Q152" s="31">
        <f t="shared" si="47"/>
        <v>0.6585198688396325</v>
      </c>
    </row>
    <row r="153" spans="2:17" ht="12.75">
      <c r="B153" s="31">
        <v>294</v>
      </c>
      <c r="C153" s="31"/>
      <c r="D153" s="31">
        <f t="shared" si="43"/>
        <v>1.525262411534249</v>
      </c>
      <c r="E153" s="31">
        <f t="shared" si="44"/>
        <v>-3.4257954661597543</v>
      </c>
      <c r="F153" s="7" t="s">
        <v>74</v>
      </c>
      <c r="H153" s="40">
        <v>147</v>
      </c>
      <c r="I153" s="31">
        <f t="shared" si="38"/>
        <v>1.8834800641583173E-16</v>
      </c>
      <c r="J153" s="31">
        <f t="shared" si="39"/>
        <v>1</v>
      </c>
      <c r="K153" s="31">
        <f t="shared" si="40"/>
        <v>0.9106413003199724</v>
      </c>
      <c r="L153" s="31">
        <f t="shared" si="41"/>
        <v>0.21947974421826066</v>
      </c>
      <c r="M153" s="31">
        <f t="shared" si="42"/>
        <v>0.3500872234592929</v>
      </c>
      <c r="N153" s="31">
        <f t="shared" si="48"/>
        <v>76.44920043385184</v>
      </c>
      <c r="O153" s="31">
        <f t="shared" si="45"/>
        <v>3.023143797457159</v>
      </c>
      <c r="P153" s="31">
        <f t="shared" si="46"/>
        <v>2.9389872163524173</v>
      </c>
      <c r="Q153" s="31">
        <f t="shared" si="47"/>
        <v>0.7083449457861352</v>
      </c>
    </row>
    <row r="154" spans="2:17" ht="12.75">
      <c r="B154" s="31">
        <v>296</v>
      </c>
      <c r="C154" s="31"/>
      <c r="D154" s="31">
        <f t="shared" si="43"/>
        <v>1.6438918004590404</v>
      </c>
      <c r="E154" s="31">
        <f t="shared" si="44"/>
        <v>-3.3704776736218762</v>
      </c>
      <c r="F154" s="7" t="s">
        <v>74</v>
      </c>
      <c r="H154" s="40">
        <v>148</v>
      </c>
      <c r="I154" s="31">
        <f t="shared" si="38"/>
        <v>1.8930861283138123E-16</v>
      </c>
      <c r="J154" s="31">
        <f t="shared" si="39"/>
        <v>1</v>
      </c>
      <c r="K154" s="31">
        <f t="shared" si="40"/>
        <v>0.9105768315019513</v>
      </c>
      <c r="L154" s="31">
        <f t="shared" si="41"/>
        <v>0.23414541923865906</v>
      </c>
      <c r="M154" s="31">
        <f t="shared" si="42"/>
        <v>0.34062553718331146</v>
      </c>
      <c r="N154" s="31">
        <f t="shared" si="48"/>
        <v>75.57939855354564</v>
      </c>
      <c r="O154" s="31">
        <f t="shared" si="45"/>
        <v>3.0450703412827234</v>
      </c>
      <c r="P154" s="31">
        <f t="shared" si="46"/>
        <v>2.9491313770915304</v>
      </c>
      <c r="Q154" s="31">
        <f t="shared" si="47"/>
        <v>0.7583386473165505</v>
      </c>
    </row>
    <row r="155" spans="2:17" ht="12.75">
      <c r="B155" s="31">
        <v>298</v>
      </c>
      <c r="C155" s="31"/>
      <c r="D155" s="31">
        <f t="shared" si="43"/>
        <v>1.760518360447089</v>
      </c>
      <c r="E155" s="31">
        <f t="shared" si="44"/>
        <v>-3.3110534732209764</v>
      </c>
      <c r="F155" s="7" t="s">
        <v>74</v>
      </c>
      <c r="H155" s="40">
        <v>149</v>
      </c>
      <c r="I155" s="31">
        <f t="shared" si="38"/>
        <v>1.9024275733025003E-16</v>
      </c>
      <c r="J155" s="31">
        <f t="shared" si="39"/>
        <v>1</v>
      </c>
      <c r="K155" s="31">
        <f t="shared" si="40"/>
        <v>0.910234992160099</v>
      </c>
      <c r="L155" s="31">
        <f t="shared" si="41"/>
        <v>0.2487397712961395</v>
      </c>
      <c r="M155" s="31">
        <f t="shared" si="42"/>
        <v>0.3310600930689907</v>
      </c>
      <c r="N155" s="31">
        <f t="shared" si="48"/>
        <v>74.71595059658104</v>
      </c>
      <c r="O155" s="31">
        <f t="shared" si="45"/>
        <v>3.067077997250366</v>
      </c>
      <c r="P155" s="31">
        <f t="shared" si="46"/>
        <v>2.958598027320455</v>
      </c>
      <c r="Q155" s="31">
        <f t="shared" si="47"/>
        <v>0.8084956115853874</v>
      </c>
    </row>
    <row r="156" spans="2:17" ht="12.75">
      <c r="B156" s="31">
        <v>300</v>
      </c>
      <c r="C156" s="31"/>
      <c r="D156" s="31">
        <f t="shared" si="43"/>
        <v>1.8750000000000004</v>
      </c>
      <c r="E156" s="31">
        <f t="shared" si="44"/>
        <v>-3.2475952641916446</v>
      </c>
      <c r="F156" s="7" t="s">
        <v>74</v>
      </c>
      <c r="H156" s="40">
        <v>150</v>
      </c>
      <c r="I156" s="31">
        <f t="shared" si="38"/>
        <v>1.9115015536297458E-16</v>
      </c>
      <c r="J156" s="31">
        <f t="shared" si="39"/>
        <v>1</v>
      </c>
      <c r="K156" s="31">
        <f t="shared" si="40"/>
        <v>0.9096158864219902</v>
      </c>
      <c r="L156" s="31">
        <f t="shared" si="41"/>
        <v>0.26325835480968723</v>
      </c>
      <c r="M156" s="31">
        <f t="shared" si="42"/>
        <v>0.3213938048432697</v>
      </c>
      <c r="N156" s="31">
        <f t="shared" si="48"/>
        <v>73.85865479845863</v>
      </c>
      <c r="O156" s="31">
        <f t="shared" si="45"/>
        <v>3.0891583998544845</v>
      </c>
      <c r="P156" s="31">
        <f t="shared" si="46"/>
        <v>2.96738004102546</v>
      </c>
      <c r="Q156" s="31">
        <f t="shared" si="47"/>
        <v>0.8588104048713318</v>
      </c>
    </row>
    <row r="157" spans="2:17" ht="12.75">
      <c r="B157" s="31">
        <v>302</v>
      </c>
      <c r="C157" s="31"/>
      <c r="D157" s="31">
        <f t="shared" si="43"/>
        <v>1.9871972408745175</v>
      </c>
      <c r="E157" s="31">
        <f t="shared" si="44"/>
        <v>-3.1801803605865984</v>
      </c>
      <c r="F157" s="7" t="s">
        <v>74</v>
      </c>
      <c r="H157" s="40">
        <v>151</v>
      </c>
      <c r="I157" s="31">
        <f t="shared" si="38"/>
        <v>1.920305305273238E-16</v>
      </c>
      <c r="J157" s="31">
        <f t="shared" si="39"/>
        <v>1</v>
      </c>
      <c r="K157" s="31">
        <f t="shared" si="40"/>
        <v>0.9087197028732305</v>
      </c>
      <c r="L157" s="31">
        <f t="shared" si="41"/>
        <v>0.27769674727811844</v>
      </c>
      <c r="M157" s="31">
        <f t="shared" si="42"/>
        <v>0.311629616951182</v>
      </c>
      <c r="N157" s="31">
        <f t="shared" si="48"/>
        <v>73.00730868153437</v>
      </c>
      <c r="O157" s="31">
        <f t="shared" si="45"/>
        <v>3.1113033461274724</v>
      </c>
      <c r="P157" s="31">
        <f t="shared" si="46"/>
        <v>2.975470199299504</v>
      </c>
      <c r="Q157" s="31">
        <f t="shared" si="47"/>
        <v>0.9092775179803885</v>
      </c>
    </row>
    <row r="158" spans="2:17" ht="12.75">
      <c r="B158" s="31">
        <v>304</v>
      </c>
      <c r="C158" s="31"/>
      <c r="D158" s="31">
        <f t="shared" si="43"/>
        <v>2.0969733880153014</v>
      </c>
      <c r="E158" s="31">
        <f t="shared" si="44"/>
        <v>-3.108890897081406</v>
      </c>
      <c r="F158" s="7" t="s">
        <v>74</v>
      </c>
      <c r="H158" s="40">
        <v>152</v>
      </c>
      <c r="I158" s="31">
        <f t="shared" si="38"/>
        <v>1.9288361465249435E-16</v>
      </c>
      <c r="J158" s="31">
        <f t="shared" si="39"/>
        <v>1</v>
      </c>
      <c r="K158" s="31">
        <f t="shared" si="40"/>
        <v>0.90754671450001</v>
      </c>
      <c r="L158" s="31">
        <f t="shared" si="41"/>
        <v>0.29205055062722046</v>
      </c>
      <c r="M158" s="31">
        <f t="shared" si="42"/>
        <v>0.3017705036589468</v>
      </c>
      <c r="N158" s="31">
        <f t="shared" si="48"/>
        <v>72.16170925725424</v>
      </c>
      <c r="O158" s="31">
        <f t="shared" si="45"/>
        <v>3.1335047937247618</v>
      </c>
      <c r="P158" s="31">
        <f t="shared" si="46"/>
        <v>2.9828611876103817</v>
      </c>
      <c r="Q158" s="31">
        <f t="shared" si="47"/>
        <v>0.9598913624695482</v>
      </c>
    </row>
    <row r="159" spans="2:17" ht="12.75">
      <c r="B159" s="31">
        <v>306</v>
      </c>
      <c r="C159" s="31"/>
      <c r="D159" s="31">
        <f t="shared" si="43"/>
        <v>2.2041946960967733</v>
      </c>
      <c r="E159" s="31">
        <f t="shared" si="44"/>
        <v>-3.033813728906053</v>
      </c>
      <c r="F159" s="7" t="s">
        <v>74</v>
      </c>
      <c r="H159" s="40">
        <v>153</v>
      </c>
      <c r="I159" s="31">
        <f t="shared" si="38"/>
        <v>1.9370914788079766E-16</v>
      </c>
      <c r="J159" s="31">
        <f t="shared" si="39"/>
        <v>1</v>
      </c>
      <c r="K159" s="31">
        <f t="shared" si="40"/>
        <v>0.9060972786059506</v>
      </c>
      <c r="L159" s="31">
        <f t="shared" si="41"/>
        <v>0.30631539254944384</v>
      </c>
      <c r="M159" s="31">
        <f t="shared" si="42"/>
        <v>0.2918194681479809</v>
      </c>
      <c r="N159" s="31">
        <f t="shared" si="48"/>
        <v>71.32165320754477</v>
      </c>
      <c r="O159" s="31">
        <f t="shared" si="45"/>
        <v>3.155754858852161</v>
      </c>
      <c r="P159" s="31">
        <f t="shared" si="46"/>
        <v>2.989545593030977</v>
      </c>
      <c r="Q159" s="31">
        <f t="shared" si="47"/>
        <v>1.0106462666819116</v>
      </c>
    </row>
    <row r="160" spans="2:17" ht="12.75">
      <c r="B160" s="31">
        <v>308</v>
      </c>
      <c r="C160" s="31"/>
      <c r="D160" s="31">
        <f t="shared" si="43"/>
        <v>2.3087305324712193</v>
      </c>
      <c r="E160" s="31">
        <f t="shared" si="44"/>
        <v>-2.9550403260252067</v>
      </c>
      <c r="F160" s="7" t="s">
        <v>74</v>
      </c>
      <c r="H160" s="40">
        <v>154</v>
      </c>
      <c r="I160" s="31">
        <f t="shared" si="38"/>
        <v>1.945068787468153E-16</v>
      </c>
      <c r="J160" s="31">
        <f t="shared" si="39"/>
        <v>1</v>
      </c>
      <c r="K160" s="31">
        <f t="shared" si="40"/>
        <v>0.9043718367032663</v>
      </c>
      <c r="L160" s="31">
        <f t="shared" si="41"/>
        <v>0.32048692783575317</v>
      </c>
      <c r="M160" s="31">
        <f t="shared" si="42"/>
        <v>0.2817795416000981</v>
      </c>
      <c r="N160" s="31">
        <f t="shared" si="48"/>
        <v>70.48693704650827</v>
      </c>
      <c r="O160" s="31">
        <f t="shared" si="45"/>
        <v>3.1780458140575347</v>
      </c>
      <c r="P160" s="31">
        <f t="shared" si="46"/>
        <v>2.9955159014343153</v>
      </c>
      <c r="Q160" s="31">
        <f t="shared" si="47"/>
        <v>1.061536471583893</v>
      </c>
    </row>
    <row r="161" spans="2:17" ht="12.75">
      <c r="B161" s="31">
        <v>310</v>
      </c>
      <c r="C161" s="31"/>
      <c r="D161" s="31">
        <f t="shared" si="43"/>
        <v>2.410453536324522</v>
      </c>
      <c r="E161" s="31">
        <f t="shared" si="44"/>
        <v>-2.872666661696168</v>
      </c>
      <c r="F161" s="7" t="s">
        <v>74</v>
      </c>
      <c r="H161" s="40">
        <v>155</v>
      </c>
      <c r="I161" s="31">
        <f t="shared" si="38"/>
        <v>1.9527656425399765E-16</v>
      </c>
      <c r="J161" s="31">
        <f t="shared" si="39"/>
        <v>1</v>
      </c>
      <c r="K161" s="31">
        <f t="shared" si="40"/>
        <v>0.9023709143782754</v>
      </c>
      <c r="L161" s="31">
        <f t="shared" si="41"/>
        <v>0.3345608396992168</v>
      </c>
      <c r="M161" s="31">
        <f t="shared" si="42"/>
        <v>0.2716537822741845</v>
      </c>
      <c r="N161" s="31">
        <f t="shared" si="48"/>
        <v>69.65735726355223</v>
      </c>
      <c r="O161" s="31">
        <f t="shared" si="45"/>
        <v>3.2003700859071413</v>
      </c>
      <c r="P161" s="31">
        <f t="shared" si="46"/>
        <v>3.000764494656497</v>
      </c>
      <c r="Q161" s="31">
        <f t="shared" si="47"/>
        <v>1.1125561263946289</v>
      </c>
    </row>
    <row r="162" spans="2:17" ht="12.75">
      <c r="B162" s="31">
        <v>312</v>
      </c>
      <c r="C162" s="31"/>
      <c r="D162" s="31">
        <f t="shared" si="43"/>
        <v>2.509239773845717</v>
      </c>
      <c r="E162" s="31">
        <f t="shared" si="44"/>
        <v>-2.78679309554023</v>
      </c>
      <c r="F162" s="7" t="s">
        <v>74</v>
      </c>
      <c r="H162" s="40">
        <v>156</v>
      </c>
      <c r="I162" s="31">
        <f t="shared" si="38"/>
        <v>1.9601796994868312E-16</v>
      </c>
      <c r="J162" s="31">
        <f t="shared" si="39"/>
        <v>1</v>
      </c>
      <c r="K162" s="31">
        <f t="shared" si="40"/>
        <v>0.9000951211313016</v>
      </c>
      <c r="L162" s="31">
        <f t="shared" si="41"/>
        <v>0.3485328410899444</v>
      </c>
      <c r="M162" s="31">
        <f t="shared" si="42"/>
        <v>0.26144527457462097</v>
      </c>
      <c r="N162" s="31">
        <f t="shared" si="48"/>
        <v>68.83271044905277</v>
      </c>
      <c r="O162" s="31">
        <f t="shared" si="45"/>
        <v>3.222720252565276</v>
      </c>
      <c r="P162" s="31">
        <f t="shared" si="46"/>
        <v>3.005283647631031</v>
      </c>
      <c r="Q162" s="31">
        <f t="shared" si="47"/>
        <v>1.1636992839973406</v>
      </c>
    </row>
    <row r="163" spans="2:17" ht="12.75">
      <c r="B163" s="31">
        <v>314</v>
      </c>
      <c r="C163" s="31"/>
      <c r="D163" s="31">
        <f t="shared" si="43"/>
        <v>2.6049688892212397</v>
      </c>
      <c r="E163" s="31">
        <f t="shared" si="44"/>
        <v>-2.6975242512699418</v>
      </c>
      <c r="F163" s="7" t="s">
        <v>74</v>
      </c>
      <c r="H163" s="40">
        <v>157</v>
      </c>
      <c r="I163" s="31">
        <f t="shared" si="38"/>
        <v>1.96730869991515E-16</v>
      </c>
      <c r="J163" s="31">
        <f t="shared" si="39"/>
        <v>1</v>
      </c>
      <c r="K163" s="31">
        <f t="shared" si="40"/>
        <v>0.897545150191014</v>
      </c>
      <c r="L163" s="31">
        <f t="shared" si="41"/>
        <v>0.362398676000963</v>
      </c>
      <c r="M163" s="31">
        <f t="shared" si="42"/>
        <v>0.25115712811174445</v>
      </c>
      <c r="N163" s="31">
        <f t="shared" si="48"/>
        <v>68.012793403623</v>
      </c>
      <c r="O163" s="31">
        <f t="shared" si="45"/>
        <v>3.2450890412943365</v>
      </c>
      <c r="P163" s="31">
        <f t="shared" si="46"/>
        <v>3.009065525498567</v>
      </c>
      <c r="Q163" s="31">
        <f t="shared" si="47"/>
        <v>1.2149598961219372</v>
      </c>
    </row>
    <row r="164" spans="2:17" ht="12.75">
      <c r="B164" s="31">
        <v>316</v>
      </c>
      <c r="C164" s="31"/>
      <c r="D164" s="31">
        <f t="shared" si="43"/>
        <v>2.697524251269941</v>
      </c>
      <c r="E164" s="31">
        <f t="shared" si="44"/>
        <v>-2.604968889221241</v>
      </c>
      <c r="F164" s="7" t="s">
        <v>74</v>
      </c>
      <c r="H164" s="40">
        <v>158</v>
      </c>
      <c r="I164" s="31">
        <f t="shared" si="38"/>
        <v>1.9741504722623415E-16</v>
      </c>
      <c r="J164" s="31">
        <f t="shared" si="39"/>
        <v>1</v>
      </c>
      <c r="K164" s="31">
        <f t="shared" si="40"/>
        <v>0.894721778303263</v>
      </c>
      <c r="L164" s="31">
        <f t="shared" si="41"/>
        <v>0.37615412076463633</v>
      </c>
      <c r="M164" s="31">
        <f t="shared" si="42"/>
        <v>0.24079247675463158</v>
      </c>
      <c r="N164" s="31">
        <f t="shared" si="48"/>
        <v>67.19740323202129</v>
      </c>
      <c r="O164" s="31">
        <f t="shared" si="45"/>
        <v>3.2674693258909095</v>
      </c>
      <c r="P164" s="31">
        <f t="shared" si="46"/>
        <v>3.012102180696535</v>
      </c>
      <c r="Q164" s="31">
        <f t="shared" si="47"/>
        <v>1.2663318082876904</v>
      </c>
    </row>
    <row r="165" spans="2:17" ht="12.75">
      <c r="B165" s="31">
        <v>318</v>
      </c>
      <c r="C165" s="31"/>
      <c r="D165" s="31">
        <f t="shared" si="43"/>
        <v>2.7867930955402285</v>
      </c>
      <c r="E165" s="31">
        <f t="shared" si="44"/>
        <v>-2.509239773845718</v>
      </c>
      <c r="F165" s="7" t="s">
        <v>74</v>
      </c>
      <c r="H165" s="40">
        <v>159</v>
      </c>
      <c r="I165" s="31">
        <f t="shared" si="38"/>
        <v>1.980702932458271E-16</v>
      </c>
      <c r="J165" s="31">
        <f t="shared" si="39"/>
        <v>1</v>
      </c>
      <c r="K165" s="31">
        <f t="shared" si="40"/>
        <v>0.8916258654944764</v>
      </c>
      <c r="L165" s="31">
        <f t="shared" si="41"/>
        <v>0.3897949853392385</v>
      </c>
      <c r="M165" s="31">
        <f t="shared" si="42"/>
        <v>0.23035447767648992</v>
      </c>
      <c r="N165" s="31">
        <f t="shared" si="48"/>
        <v>66.38633742269884</v>
      </c>
      <c r="O165" s="31">
        <f t="shared" si="45"/>
        <v>3.2898541240721233</v>
      </c>
      <c r="P165" s="31">
        <f t="shared" si="46"/>
        <v>3.014385550033771</v>
      </c>
      <c r="Q165" s="31">
        <f t="shared" si="47"/>
        <v>1.3178087544943538</v>
      </c>
    </row>
    <row r="166" spans="2:17" ht="12.75">
      <c r="B166" s="31">
        <v>320</v>
      </c>
      <c r="C166" s="31"/>
      <c r="D166" s="31">
        <f t="shared" si="43"/>
        <v>2.872666661696167</v>
      </c>
      <c r="E166" s="31">
        <f t="shared" si="44"/>
        <v>-2.4104535363245234</v>
      </c>
      <c r="F166" s="7" t="s">
        <v>74</v>
      </c>
      <c r="H166" s="40">
        <v>160</v>
      </c>
      <c r="I166" s="31">
        <f aca="true" t="shared" si="49" ref="I166:I187">(X_2*X_S+Y_2*Y_S+Z_2*Z_S)*(1-COS(RADIANS(H166)))</f>
        <v>1.9869640845600886E-16</v>
      </c>
      <c r="J166" s="31">
        <f aca="true" t="shared" si="50" ref="J166:J187">SIGN(COS(RADIANS(H166))*Z_S+I166*Z_2+(SIN(RADIANS(H166))*(X_2*Y_S-Y_2*X_S)))</f>
        <v>1</v>
      </c>
      <c r="K166" s="31">
        <f aca="true" t="shared" si="51" ref="K166:K187">(COS(RADIANS(H166))*X_S+I166*X_2+(SIN(RADIANS(H166))*(Y_2*Z_S-Z_2*Y_S)))*J166</f>
        <v>0.8882583548096866</v>
      </c>
      <c r="L166" s="31">
        <f aca="true" t="shared" si="52" ref="L166:L187">(COS(RADIANS(H166))*Y_S+I166*Y_2-(SIN(RADIANS(H166))*(X_2*Z_S-Z_2*X_S)))*J166</f>
        <v>0.4033171145852771</v>
      </c>
      <c r="M166" s="31">
        <f aca="true" t="shared" si="53" ref="M166:M187">(COS(RADIANS(H166))*Z_S+I166*Z_2+(SIN(RADIANS(H166))*(X_2*Y_S-Y_2*X_S)))*J166</f>
        <v>0.21984631039295435</v>
      </c>
      <c r="N166" s="31">
        <f t="shared" si="48"/>
        <v>65.5793939139477</v>
      </c>
      <c r="O166" s="31">
        <f t="shared" si="45"/>
        <v>3.312236594825176</v>
      </c>
      <c r="P166" s="31">
        <f t="shared" si="46"/>
        <v>3.015907451755824</v>
      </c>
      <c r="Q166" s="31">
        <f t="shared" si="47"/>
        <v>1.3693843516495905</v>
      </c>
    </row>
    <row r="167" spans="2:17" ht="12.75">
      <c r="B167" s="31">
        <v>322</v>
      </c>
      <c r="C167" s="31"/>
      <c r="D167" s="31">
        <f t="shared" si="43"/>
        <v>2.9550403260252076</v>
      </c>
      <c r="E167" s="31">
        <f t="shared" si="44"/>
        <v>-2.308730532471218</v>
      </c>
      <c r="F167" s="7" t="s">
        <v>74</v>
      </c>
      <c r="H167" s="40">
        <v>161</v>
      </c>
      <c r="I167" s="31">
        <f t="shared" si="49"/>
        <v>1.9929320213602103E-16</v>
      </c>
      <c r="J167" s="31">
        <f t="shared" si="50"/>
        <v>1</v>
      </c>
      <c r="K167" s="31">
        <f t="shared" si="51"/>
        <v>0.8846202720252697</v>
      </c>
      <c r="L167" s="31">
        <f t="shared" si="52"/>
        <v>0.41671638953119283</v>
      </c>
      <c r="M167" s="31">
        <f t="shared" si="53"/>
        <v>0.20927117579357377</v>
      </c>
      <c r="N167" s="31">
        <f t="shared" si="48"/>
        <v>64.77637114757027</v>
      </c>
      <c r="O167" s="31">
        <f t="shared" si="45"/>
        <v>3.334610035731745</v>
      </c>
      <c r="P167" s="31">
        <f t="shared" si="46"/>
        <v>3.016659582607304</v>
      </c>
      <c r="Q167" s="31">
        <f t="shared" si="47"/>
        <v>1.4210520937201416</v>
      </c>
    </row>
    <row r="168" spans="2:17" ht="12.75">
      <c r="B168" s="31">
        <v>324</v>
      </c>
      <c r="C168" s="31"/>
      <c r="D168" s="31">
        <f t="shared" si="43"/>
        <v>3.0338137289060527</v>
      </c>
      <c r="E168" s="31">
        <f t="shared" si="44"/>
        <v>-2.204194696096775</v>
      </c>
      <c r="F168" s="7" t="s">
        <v>74</v>
      </c>
      <c r="H168" s="40">
        <v>162</v>
      </c>
      <c r="I168" s="31">
        <f t="shared" si="49"/>
        <v>1.998604924967274E-16</v>
      </c>
      <c r="J168" s="31">
        <f t="shared" si="50"/>
        <v>1</v>
      </c>
      <c r="K168" s="31">
        <f t="shared" si="51"/>
        <v>0.880712725336485</v>
      </c>
      <c r="L168" s="31">
        <f t="shared" si="52"/>
        <v>0.42998872862803467</v>
      </c>
      <c r="M168" s="31">
        <f t="shared" si="53"/>
        <v>0.19863229516679135</v>
      </c>
      <c r="N168" s="31">
        <f t="shared" si="48"/>
        <v>63.97706811095353</v>
      </c>
      <c r="O168" s="31">
        <f aca="true" t="shared" si="54" ref="O168:O187">IF(UPPER(Projection)="EQUAL AREA",SQRT(2)*(SIN(ACOS(ABS(M168))/2))*Radius,TAN(ACOS(ABS(M168))/2)*Radius)</f>
        <v>3.3569678802778258</v>
      </c>
      <c r="P168" s="31">
        <f aca="true" t="shared" si="55" ref="P168:P187">+Xcenter+SIN(RADIANS(N168))*O168</f>
        <v>3.016633514898352</v>
      </c>
      <c r="Q168" s="31">
        <f aca="true" t="shared" si="56" ref="Q168:Q187">Ycenter+COS(RADIANS(N168))*O168</f>
        <v>1.472805345593576</v>
      </c>
    </row>
    <row r="169" spans="2:17" ht="12.75">
      <c r="B169" s="31">
        <v>326</v>
      </c>
      <c r="C169" s="31"/>
      <c r="D169" s="31">
        <f t="shared" si="43"/>
        <v>3.108890897081407</v>
      </c>
      <c r="E169" s="31">
        <f t="shared" si="44"/>
        <v>-2.0969733880152996</v>
      </c>
      <c r="F169" s="7" t="s">
        <v>74</v>
      </c>
      <c r="H169" s="40">
        <v>163</v>
      </c>
      <c r="I169" s="31">
        <f t="shared" si="49"/>
        <v>2.0039810673598866E-16</v>
      </c>
      <c r="J169" s="31">
        <f t="shared" si="50"/>
        <v>1</v>
      </c>
      <c r="K169" s="31">
        <f t="shared" si="51"/>
        <v>0.876536905019907</v>
      </c>
      <c r="L169" s="31">
        <f t="shared" si="52"/>
        <v>0.44313008899274237</v>
      </c>
      <c r="M169" s="31">
        <f t="shared" si="53"/>
        <v>0.1879329092187066</v>
      </c>
      <c r="N169" s="31">
        <f t="shared" si="48"/>
        <v>63.18128436838954</v>
      </c>
      <c r="O169" s="31">
        <f t="shared" si="54"/>
        <v>3.3793036951585065</v>
      </c>
      <c r="P169" s="31">
        <f t="shared" si="55"/>
        <v>3.015820693583122</v>
      </c>
      <c r="Q169" s="31">
        <f t="shared" si="56"/>
        <v>1.5246373366370605</v>
      </c>
    </row>
    <row r="170" spans="2:17" ht="12.75">
      <c r="B170" s="31">
        <v>328</v>
      </c>
      <c r="C170" s="31"/>
      <c r="D170" s="31">
        <f t="shared" si="43"/>
        <v>3.1801803605865975</v>
      </c>
      <c r="E170" s="31">
        <f t="shared" si="44"/>
        <v>-1.9871972408745189</v>
      </c>
      <c r="F170" s="7" t="s">
        <v>74</v>
      </c>
      <c r="H170" s="40">
        <v>164</v>
      </c>
      <c r="I170" s="31">
        <f t="shared" si="49"/>
        <v>2.0090588109129952E-16</v>
      </c>
      <c r="J170" s="31">
        <f t="shared" si="50"/>
        <v>1</v>
      </c>
      <c r="K170" s="31">
        <f t="shared" si="51"/>
        <v>0.8720940830708565</v>
      </c>
      <c r="L170" s="31">
        <f t="shared" si="52"/>
        <v>0.45613646763964505</v>
      </c>
      <c r="M170" s="31">
        <f t="shared" si="53"/>
        <v>0.17717627708592712</v>
      </c>
      <c r="N170" s="31">
        <f t="shared" si="48"/>
        <v>62.3888200824467</v>
      </c>
      <c r="O170" s="31">
        <f t="shared" si="54"/>
        <v>3.401611177586167</v>
      </c>
      <c r="P170" s="31">
        <f t="shared" si="55"/>
        <v>3.014212433358994</v>
      </c>
      <c r="Q170" s="31">
        <f t="shared" si="56"/>
        <v>1.576541153938964</v>
      </c>
    </row>
    <row r="171" spans="2:17" ht="12.75">
      <c r="B171" s="31">
        <v>330</v>
      </c>
      <c r="C171" s="31"/>
      <c r="D171" s="31">
        <f t="shared" si="43"/>
        <v>3.247595264191644</v>
      </c>
      <c r="E171" s="31">
        <f t="shared" si="44"/>
        <v>-1.8750000000000018</v>
      </c>
      <c r="F171" s="7" t="s">
        <v>74</v>
      </c>
      <c r="H171" s="40">
        <v>165</v>
      </c>
      <c r="I171" s="31">
        <f t="shared" si="49"/>
        <v>2.0138366088967246E-16</v>
      </c>
      <c r="J171" s="31">
        <f t="shared" si="50"/>
        <v>1</v>
      </c>
      <c r="K171" s="31">
        <f t="shared" si="51"/>
        <v>0.8673856128159373</v>
      </c>
      <c r="L171" s="31">
        <f t="shared" si="52"/>
        <v>0.4690039026998114</v>
      </c>
      <c r="M171" s="31">
        <f t="shared" si="53"/>
        <v>0.16636567534280217</v>
      </c>
      <c r="N171" s="31">
        <f t="shared" si="48"/>
        <v>61.59947602615637</v>
      </c>
      <c r="O171" s="31">
        <f t="shared" si="54"/>
        <v>3.4238841526097</v>
      </c>
      <c r="P171" s="31">
        <f t="shared" si="55"/>
        <v>3.0117999157961752</v>
      </c>
      <c r="Q171" s="31">
        <f t="shared" si="56"/>
        <v>1.6285097352186741</v>
      </c>
    </row>
    <row r="172" spans="2:17" ht="12.75">
      <c r="B172" s="31">
        <v>332</v>
      </c>
      <c r="C172" s="31"/>
      <c r="D172" s="31">
        <f t="shared" si="43"/>
        <v>3.311053473220976</v>
      </c>
      <c r="E172" s="31">
        <f t="shared" si="44"/>
        <v>-1.7605183604470904</v>
      </c>
      <c r="F172" s="7" t="s">
        <v>74</v>
      </c>
      <c r="H172" s="40">
        <v>166</v>
      </c>
      <c r="I172" s="31">
        <f t="shared" si="49"/>
        <v>2.0183130059475251E-16</v>
      </c>
      <c r="J172" s="31">
        <f t="shared" si="50"/>
        <v>1</v>
      </c>
      <c r="K172" s="31">
        <f t="shared" si="51"/>
        <v>0.8624129285008013</v>
      </c>
      <c r="L172" s="31">
        <f t="shared" si="52"/>
        <v>0.48172847462787294</v>
      </c>
      <c r="M172" s="31">
        <f t="shared" si="53"/>
        <v>0.155504397003347</v>
      </c>
      <c r="N172" s="31">
        <f t="shared" si="48"/>
        <v>60.813053586743386</v>
      </c>
      <c r="O172" s="31">
        <f t="shared" si="54"/>
        <v>3.446116570451504</v>
      </c>
      <c r="P172" s="31">
        <f t="shared" si="55"/>
        <v>3.0085741865083753</v>
      </c>
      <c r="Q172" s="31">
        <f t="shared" si="56"/>
        <v>1.6805358613894277</v>
      </c>
    </row>
    <row r="173" spans="2:17" ht="12.75">
      <c r="B173" s="31">
        <v>334</v>
      </c>
      <c r="C173" s="31"/>
      <c r="D173" s="31">
        <f t="shared" si="43"/>
        <v>3.370477673621876</v>
      </c>
      <c r="E173" s="31">
        <f t="shared" si="44"/>
        <v>-1.6438918004590417</v>
      </c>
      <c r="F173" s="7" t="s">
        <v>74</v>
      </c>
      <c r="H173" s="40">
        <v>167</v>
      </c>
      <c r="I173" s="31">
        <f t="shared" si="49"/>
        <v>2.0224866385114918E-16</v>
      </c>
      <c r="J173" s="31">
        <f t="shared" si="50"/>
        <v>1</v>
      </c>
      <c r="K173" s="31">
        <f t="shared" si="51"/>
        <v>0.8571775448532624</v>
      </c>
      <c r="L173" s="31">
        <f t="shared" si="52"/>
        <v>0.49430630739595405</v>
      </c>
      <c r="M173" s="31">
        <f t="shared" si="53"/>
        <v>0.14459575051815998</v>
      </c>
      <c r="N173" s="31">
        <f t="shared" si="48"/>
        <v>60.02935476159243</v>
      </c>
      <c r="O173" s="31">
        <f t="shared" si="54"/>
        <v>3.4683025038681925</v>
      </c>
      <c r="P173" s="31">
        <f t="shared" si="55"/>
        <v>3.0045261523762834</v>
      </c>
      <c r="Q173" s="31">
        <f t="shared" si="56"/>
        <v>1.73261214875844</v>
      </c>
    </row>
    <row r="174" spans="2:17" ht="12.75">
      <c r="B174" s="31">
        <v>336</v>
      </c>
      <c r="C174" s="31"/>
      <c r="D174" s="31">
        <f t="shared" si="43"/>
        <v>3.425795466159754</v>
      </c>
      <c r="E174" s="31">
        <f t="shared" si="44"/>
        <v>-1.5252624115342506</v>
      </c>
      <c r="F174" s="7" t="s">
        <v>74</v>
      </c>
      <c r="H174" s="40">
        <v>168</v>
      </c>
      <c r="I174" s="31">
        <f t="shared" si="49"/>
        <v>2.0263562352597142E-16</v>
      </c>
      <c r="J174" s="31">
        <f t="shared" si="50"/>
        <v>1</v>
      </c>
      <c r="K174" s="31">
        <f t="shared" si="51"/>
        <v>0.8516810566218956</v>
      </c>
      <c r="L174" s="31">
        <f t="shared" si="52"/>
        <v>0.5067335696743499</v>
      </c>
      <c r="M174" s="31">
        <f t="shared" si="53"/>
        <v>0.13364305876663438</v>
      </c>
      <c r="N174" s="31">
        <f t="shared" si="48"/>
        <v>59.24818214710808</v>
      </c>
      <c r="O174" s="31">
        <f t="shared" si="54"/>
        <v>3.490436145540297</v>
      </c>
      <c r="P174" s="31">
        <f t="shared" si="55"/>
        <v>2.9996465788368085</v>
      </c>
      <c r="Q174" s="31">
        <f t="shared" si="56"/>
        <v>1.7847310408481258</v>
      </c>
    </row>
    <row r="175" spans="2:17" ht="12.75">
      <c r="B175" s="31">
        <v>338</v>
      </c>
      <c r="C175" s="31"/>
      <c r="D175" s="31">
        <f t="shared" si="43"/>
        <v>3.4769394546254526</v>
      </c>
      <c r="E175" s="31">
        <f t="shared" si="44"/>
        <v>-1.4047747253096714</v>
      </c>
      <c r="F175" s="7" t="s">
        <v>74</v>
      </c>
      <c r="H175" s="40">
        <v>169</v>
      </c>
      <c r="I175" s="31">
        <f t="shared" si="49"/>
        <v>2.0299206174755372E-16</v>
      </c>
      <c r="J175" s="31">
        <f t="shared" si="50"/>
        <v>1</v>
      </c>
      <c r="K175" s="31">
        <f t="shared" si="51"/>
        <v>0.8459251380902625</v>
      </c>
      <c r="L175" s="31">
        <f t="shared" si="52"/>
        <v>0.5190064759985843</v>
      </c>
      <c r="M175" s="31">
        <f t="shared" si="53"/>
        <v>0.12264965804477936</v>
      </c>
      <c r="N175" s="31">
        <f t="shared" si="48"/>
        <v>58.46933892109395</v>
      </c>
      <c r="O175" s="31">
        <f t="shared" si="54"/>
        <v>3.5125118054955045</v>
      </c>
      <c r="P175" s="31">
        <f t="shared" si="55"/>
        <v>2.993926087252244</v>
      </c>
      <c r="Q175" s="31">
        <f t="shared" si="56"/>
        <v>1.8368847998216318</v>
      </c>
    </row>
    <row r="176" spans="2:17" ht="12.75">
      <c r="B176" s="31">
        <v>340</v>
      </c>
      <c r="C176" s="31"/>
      <c r="D176" s="31">
        <f t="shared" si="43"/>
        <v>3.5238473279471565</v>
      </c>
      <c r="E176" s="31">
        <f t="shared" si="44"/>
        <v>-1.2825755374712573</v>
      </c>
      <c r="F176" s="7" t="s">
        <v>74</v>
      </c>
      <c r="H176" s="40">
        <v>170</v>
      </c>
      <c r="I176" s="31">
        <f t="shared" si="49"/>
        <v>2.0331786994136092E-16</v>
      </c>
      <c r="J176" s="31">
        <f t="shared" si="50"/>
        <v>1</v>
      </c>
      <c r="K176" s="31">
        <f t="shared" si="51"/>
        <v>0.8399115425669059</v>
      </c>
      <c r="L176" s="31">
        <f t="shared" si="52"/>
        <v>0.5311212879225012</v>
      </c>
      <c r="M176" s="31">
        <f t="shared" si="53"/>
        <v>0.1116188970489497</v>
      </c>
      <c r="N176" s="31">
        <f t="shared" si="48"/>
        <v>57.69262881924504</v>
      </c>
      <c r="O176" s="31">
        <f t="shared" si="54"/>
        <v>3.5345239085694615</v>
      </c>
      <c r="P176" s="31">
        <f t="shared" si="55"/>
        <v>2.9873551523749904</v>
      </c>
      <c r="Q176" s="31">
        <f t="shared" si="56"/>
        <v>1.8890654974954526</v>
      </c>
    </row>
    <row r="177" spans="2:17" ht="12.75">
      <c r="B177" s="31">
        <v>342</v>
      </c>
      <c r="C177" s="31"/>
      <c r="D177" s="31">
        <f t="shared" si="43"/>
        <v>3.5664619361068257</v>
      </c>
      <c r="E177" s="31">
        <f t="shared" si="44"/>
        <v>-1.1588137289060536</v>
      </c>
      <c r="F177" s="7" t="s">
        <v>74</v>
      </c>
      <c r="H177" s="40">
        <v>171</v>
      </c>
      <c r="I177" s="31">
        <f t="shared" si="49"/>
        <v>2.03612948863061E-16</v>
      </c>
      <c r="J177" s="31">
        <f t="shared" si="50"/>
        <v>1</v>
      </c>
      <c r="K177" s="31">
        <f t="shared" si="51"/>
        <v>0.8336421018512779</v>
      </c>
      <c r="L177" s="31">
        <f t="shared" si="52"/>
        <v>0.5430743151570292</v>
      </c>
      <c r="M177" s="31">
        <f t="shared" si="53"/>
        <v>0.10055413585580265</v>
      </c>
      <c r="N177" s="31">
        <f t="shared" si="48"/>
        <v>56.91785610631932</v>
      </c>
      <c r="O177" s="31">
        <f t="shared" si="54"/>
        <v>3.5564669919075276</v>
      </c>
      <c r="P177" s="31">
        <f t="shared" si="55"/>
        <v>2.9799240999248497</v>
      </c>
      <c r="Q177" s="31">
        <f t="shared" si="56"/>
        <v>1.9412650059213585</v>
      </c>
    </row>
    <row r="178" spans="2:17" ht="12.75">
      <c r="B178" s="31">
        <v>344</v>
      </c>
      <c r="C178" s="31"/>
      <c r="D178" s="31">
        <f t="shared" si="43"/>
        <v>3.604731359768696</v>
      </c>
      <c r="E178" s="31">
        <f t="shared" si="44"/>
        <v>-1.033640084313746</v>
      </c>
      <c r="F178" s="7" t="s">
        <v>74</v>
      </c>
      <c r="H178" s="40">
        <v>172</v>
      </c>
      <c r="I178" s="31">
        <f t="shared" si="49"/>
        <v>2.038772086287559E-16</v>
      </c>
      <c r="J178" s="31">
        <f t="shared" si="50"/>
        <v>1</v>
      </c>
      <c r="K178" s="31">
        <f t="shared" si="51"/>
        <v>0.8271187256757535</v>
      </c>
      <c r="L178" s="31">
        <f t="shared" si="52"/>
        <v>0.5548619166942818</v>
      </c>
      <c r="M178" s="31">
        <f t="shared" si="53"/>
        <v>0.08945874489878389</v>
      </c>
      <c r="N178" s="31">
        <f t="shared" si="48"/>
        <v>56.144825542526725</v>
      </c>
      <c r="O178" s="31">
        <f t="shared" si="54"/>
        <v>3.5783357025104356</v>
      </c>
      <c r="P178" s="31">
        <f t="shared" si="55"/>
        <v>2.971623104297585</v>
      </c>
      <c r="Q178" s="31">
        <f t="shared" si="56"/>
        <v>1.993474987519442</v>
      </c>
    </row>
    <row r="179" spans="2:17" ht="12.75">
      <c r="B179" s="31">
        <v>346</v>
      </c>
      <c r="C179" s="31"/>
      <c r="D179" s="31">
        <f t="shared" si="43"/>
        <v>3.638608973534987</v>
      </c>
      <c r="E179" s="31">
        <f t="shared" si="44"/>
        <v>-0.9072071084987545</v>
      </c>
      <c r="F179" s="7" t="s">
        <v>74</v>
      </c>
      <c r="H179" s="40">
        <v>173</v>
      </c>
      <c r="I179" s="31">
        <f t="shared" si="49"/>
        <v>2.041105687423611E-16</v>
      </c>
      <c r="J179" s="31">
        <f t="shared" si="50"/>
        <v>1</v>
      </c>
      <c r="K179" s="31">
        <f t="shared" si="51"/>
        <v>0.8203434011239092</v>
      </c>
      <c r="L179" s="31">
        <f t="shared" si="52"/>
        <v>0.5664805019166407</v>
      </c>
      <c r="M179" s="31">
        <f t="shared" si="53"/>
        <v>0.0783361039414629</v>
      </c>
      <c r="N179" s="31">
        <f t="shared" si="48"/>
        <v>55.37334234565014</v>
      </c>
      <c r="O179" s="31">
        <f t="shared" si="54"/>
        <v>3.6001247948263098</v>
      </c>
      <c r="P179" s="31">
        <f t="shared" si="55"/>
        <v>2.962442186425119</v>
      </c>
      <c r="Q179" s="31">
        <f t="shared" si="56"/>
        <v>2.045686884743591</v>
      </c>
    </row>
    <row r="180" spans="2:17" ht="12.75">
      <c r="B180" s="31">
        <v>348</v>
      </c>
      <c r="C180" s="31"/>
      <c r="D180" s="31">
        <f t="shared" si="43"/>
        <v>3.668053502751771</v>
      </c>
      <c r="E180" s="31">
        <f t="shared" si="44"/>
        <v>-0.7796688405665995</v>
      </c>
      <c r="F180" s="7" t="s">
        <v>74</v>
      </c>
      <c r="H180" s="40">
        <v>174</v>
      </c>
      <c r="I180" s="31">
        <f t="shared" si="49"/>
        <v>2.043129581201253E-16</v>
      </c>
      <c r="J180" s="31">
        <f t="shared" si="50"/>
        <v>1</v>
      </c>
      <c r="K180" s="31">
        <f t="shared" si="51"/>
        <v>0.8133181920252378</v>
      </c>
      <c r="L180" s="31">
        <f t="shared" si="52"/>
        <v>0.5779265316904959</v>
      </c>
      <c r="M180" s="31">
        <f t="shared" si="53"/>
        <v>0.06718960104802246</v>
      </c>
      <c r="N180" s="31">
        <f t="shared" si="48"/>
        <v>54.603212149389456</v>
      </c>
      <c r="O180" s="31">
        <f t="shared" si="54"/>
        <v>3.621829128391093</v>
      </c>
      <c r="P180" s="31">
        <f t="shared" si="55"/>
        <v>2.9523712118096146</v>
      </c>
      <c r="Q180" s="31">
        <f t="shared" si="56"/>
        <v>2.0978919092603436</v>
      </c>
    </row>
    <row r="181" spans="2:17" ht="12.75">
      <c r="B181" s="31">
        <v>350</v>
      </c>
      <c r="C181" s="31"/>
      <c r="D181" s="31">
        <f t="shared" si="43"/>
        <v>3.6930290737957803</v>
      </c>
      <c r="E181" s="31">
        <f t="shared" si="44"/>
        <v>-0.6511806662509889</v>
      </c>
      <c r="F181" s="7" t="s">
        <v>74</v>
      </c>
      <c r="H181" s="40">
        <v>175</v>
      </c>
      <c r="I181" s="31">
        <f t="shared" si="49"/>
        <v>2.044843151122835E-16</v>
      </c>
      <c r="J181" s="31">
        <f t="shared" si="50"/>
        <v>1</v>
      </c>
      <c r="K181" s="31">
        <f t="shared" si="51"/>
        <v>0.8060452383264851</v>
      </c>
      <c r="L181" s="31">
        <f t="shared" si="52"/>
        <v>0.5891965194442987</v>
      </c>
      <c r="M181" s="31">
        <f t="shared" si="53"/>
        <v>0.05602263155122224</v>
      </c>
      <c r="N181" s="31">
        <f t="shared" si="48"/>
        <v>53.83424095840004</v>
      </c>
      <c r="O181" s="31">
        <f t="shared" si="54"/>
        <v>3.6434436655190567</v>
      </c>
      <c r="P181" s="31">
        <f t="shared" si="55"/>
        <v>2.9413998887556683</v>
      </c>
      <c r="Q181" s="31">
        <f t="shared" si="56"/>
        <v>2.1500810306216556</v>
      </c>
    </row>
    <row r="182" spans="2:17" ht="12.75">
      <c r="B182" s="31">
        <v>352</v>
      </c>
      <c r="C182" s="31"/>
      <c r="D182" s="31">
        <f t="shared" si="43"/>
        <v>3.7135052577808882</v>
      </c>
      <c r="E182" s="31">
        <f t="shared" si="44"/>
        <v>-0.521899128600247</v>
      </c>
      <c r="F182" s="7" t="s">
        <v>74</v>
      </c>
      <c r="H182" s="40">
        <v>176</v>
      </c>
      <c r="I182" s="31">
        <f t="shared" si="49"/>
        <v>2.0462458752183594E-16</v>
      </c>
      <c r="J182" s="31">
        <f t="shared" si="50"/>
        <v>1</v>
      </c>
      <c r="K182" s="31">
        <f t="shared" si="51"/>
        <v>0.7985267554398028</v>
      </c>
      <c r="L182" s="31">
        <f t="shared" si="52"/>
        <v>0.6002870322306034</v>
      </c>
      <c r="M182" s="31">
        <f t="shared" si="53"/>
        <v>0.04483859701814838</v>
      </c>
      <c r="N182" s="31">
        <f t="shared" si="48"/>
        <v>53.0662351004787</v>
      </c>
      <c r="O182" s="31">
        <f t="shared" si="54"/>
        <v>3.6649634690447175</v>
      </c>
      <c r="P182" s="31">
        <f t="shared" si="55"/>
        <v>2.929517766827008</v>
      </c>
      <c r="Q182" s="31">
        <f t="shared" si="56"/>
        <v>2.202244964411814</v>
      </c>
    </row>
    <row r="183" spans="2:17" ht="12.75">
      <c r="B183" s="31">
        <v>354</v>
      </c>
      <c r="C183" s="31"/>
      <c r="D183" s="31">
        <f t="shared" si="43"/>
        <v>3.729457107631025</v>
      </c>
      <c r="E183" s="31">
        <f t="shared" si="44"/>
        <v>-0.39198173725370034</v>
      </c>
      <c r="F183" s="7" t="s">
        <v>74</v>
      </c>
      <c r="H183" s="40">
        <v>177</v>
      </c>
      <c r="I183" s="31">
        <f t="shared" si="49"/>
        <v>2.0473373262044776E-16</v>
      </c>
      <c r="J183" s="31">
        <f t="shared" si="50"/>
        <v>1</v>
      </c>
      <c r="K183" s="31">
        <f t="shared" si="51"/>
        <v>0.7907650335679108</v>
      </c>
      <c r="L183" s="31">
        <f t="shared" si="52"/>
        <v>0.6111946917717801</v>
      </c>
      <c r="M183" s="31">
        <f t="shared" si="53"/>
        <v>0.03364090421406126</v>
      </c>
      <c r="N183" s="31">
        <f t="shared" si="48"/>
        <v>52.299001176333775</v>
      </c>
      <c r="O183" s="31">
        <f t="shared" si="54"/>
        <v>3.686383700117198</v>
      </c>
      <c r="P183" s="31">
        <f t="shared" si="55"/>
        <v>2.9167142355563596</v>
      </c>
      <c r="Q183" s="31">
        <f t="shared" si="56"/>
        <v>2.254374159848503</v>
      </c>
    </row>
    <row r="184" spans="2:17" ht="12.75">
      <c r="B184" s="31">
        <v>356</v>
      </c>
      <c r="C184" s="31"/>
      <c r="D184" s="31">
        <f t="shared" si="43"/>
        <v>3.740865188474341</v>
      </c>
      <c r="E184" s="31">
        <f t="shared" si="44"/>
        <v>-0.26158677654047113</v>
      </c>
      <c r="F184" s="7" t="s">
        <v>74</v>
      </c>
      <c r="H184" s="40">
        <v>178</v>
      </c>
      <c r="I184" s="31">
        <f t="shared" si="49"/>
        <v>2.0481171716146466E-16</v>
      </c>
      <c r="J184" s="31">
        <f t="shared" si="50"/>
        <v>1</v>
      </c>
      <c r="K184" s="31">
        <f t="shared" si="51"/>
        <v>0.7827624370064815</v>
      </c>
      <c r="L184" s="31">
        <f t="shared" si="52"/>
        <v>0.6219161754890667</v>
      </c>
      <c r="M184" s="31">
        <f t="shared" si="53"/>
        <v>0.022432964064664065</v>
      </c>
      <c r="N184" s="31">
        <f t="shared" si="48"/>
        <v>51.53234600736347</v>
      </c>
      <c r="O184" s="31">
        <f t="shared" si="54"/>
        <v>3.707699616047754</v>
      </c>
      <c r="P184" s="31">
        <f t="shared" si="55"/>
        <v>2.9029785234396437</v>
      </c>
      <c r="Q184" s="31">
        <f t="shared" si="56"/>
        <v>2.306458786817759</v>
      </c>
    </row>
    <row r="185" spans="2:17" ht="12.75">
      <c r="B185" s="31">
        <v>358</v>
      </c>
      <c r="C185" s="31"/>
      <c r="D185" s="31">
        <f t="shared" si="43"/>
        <v>3.7477156013216093</v>
      </c>
      <c r="E185" s="31">
        <f t="shared" si="44"/>
        <v>-0.1308731126343781</v>
      </c>
      <c r="F185" s="7" t="s">
        <v>74</v>
      </c>
      <c r="H185" s="40">
        <v>179</v>
      </c>
      <c r="I185" s="31">
        <f t="shared" si="49"/>
        <v>2.0485851739003997E-16</v>
      </c>
      <c r="J185" s="31">
        <f t="shared" si="50"/>
        <v>1</v>
      </c>
      <c r="K185" s="31">
        <f t="shared" si="51"/>
        <v>0.7745214034239496</v>
      </c>
      <c r="L185" s="31">
        <f t="shared" si="52"/>
        <v>0.6324482175146624</v>
      </c>
      <c r="M185" s="31">
        <f t="shared" si="53"/>
        <v>0.011218190617099487</v>
      </c>
      <c r="N185" s="31">
        <f t="shared" si="48"/>
        <v>50.76607658185383</v>
      </c>
      <c r="O185" s="31">
        <f t="shared" si="54"/>
        <v>3.728906568210987</v>
      </c>
      <c r="P185" s="31">
        <f t="shared" si="55"/>
        <v>2.8882996972482706</v>
      </c>
      <c r="Q185" s="31">
        <f t="shared" si="56"/>
        <v>2.358488722322536</v>
      </c>
    </row>
    <row r="186" spans="2:17" ht="12.75">
      <c r="B186" s="31">
        <v>360</v>
      </c>
      <c r="C186" s="31"/>
      <c r="D186" s="31">
        <f t="shared" si="43"/>
        <v>3.75</v>
      </c>
      <c r="E186" s="31">
        <f t="shared" si="44"/>
        <v>-9.18861341181465E-16</v>
      </c>
      <c r="F186" s="7" t="s">
        <v>74</v>
      </c>
      <c r="H186" s="40">
        <v>180</v>
      </c>
      <c r="I186" s="31">
        <f t="shared" si="49"/>
        <v>2.0487411905037068E-16</v>
      </c>
      <c r="J186" s="31">
        <f t="shared" si="50"/>
        <v>1</v>
      </c>
      <c r="K186" s="31">
        <f t="shared" si="51"/>
        <v>0.7660444431189779</v>
      </c>
      <c r="L186" s="31">
        <f t="shared" si="52"/>
        <v>0.6427876096865395</v>
      </c>
      <c r="M186" s="31">
        <f t="shared" si="53"/>
        <v>1.744362823761883E-16</v>
      </c>
      <c r="N186" s="31">
        <f t="shared" si="48"/>
        <v>49.999999999999986</v>
      </c>
      <c r="O186" s="31">
        <f t="shared" si="54"/>
        <v>3.75</v>
      </c>
      <c r="P186" s="31">
        <f t="shared" si="55"/>
        <v>2.872666661696167</v>
      </c>
      <c r="Q186" s="31">
        <f t="shared" si="56"/>
        <v>2.410453536324523</v>
      </c>
    </row>
    <row r="187" spans="2:17" ht="12.75">
      <c r="B187" s="31">
        <f>Az_2</f>
        <v>320</v>
      </c>
      <c r="C187" s="31">
        <f>IF(UPPER(Projection)="EQUAL AREA",SQRT(2)*(SIN(ACOS(ABS(Z_2))/2))*Radius,TAN(ACOS(ABS(Z_2))/2)*Radius)</f>
        <v>1.8138357198598147</v>
      </c>
      <c r="D187" s="31">
        <f>+Xcenter+SIN(RADIANS(B187))*C187</f>
        <v>-1.1659111267327542</v>
      </c>
      <c r="E187" s="31">
        <f>+Ycenter+COS(RADIANS(B187))*C187</f>
        <v>1.389478773929322</v>
      </c>
      <c r="F187" s="7" t="s">
        <v>76</v>
      </c>
      <c r="H187" s="40">
        <v>181</v>
      </c>
      <c r="I187" s="31">
        <f t="shared" si="49"/>
        <v>2.0485851739003997E-16</v>
      </c>
      <c r="J187" s="31">
        <f t="shared" si="50"/>
        <v>-1</v>
      </c>
      <c r="K187" s="31">
        <f t="shared" si="51"/>
        <v>-0.7573341382557927</v>
      </c>
      <c r="L187" s="31">
        <f t="shared" si="52"/>
        <v>-0.6529312025256829</v>
      </c>
      <c r="M187" s="31">
        <f t="shared" si="53"/>
        <v>0.011218190617099423</v>
      </c>
      <c r="N187" s="31">
        <f t="shared" si="48"/>
        <v>229.2339234181461</v>
      </c>
      <c r="O187" s="31">
        <f t="shared" si="54"/>
        <v>3.728906568210987</v>
      </c>
      <c r="P187" s="31">
        <f t="shared" si="55"/>
        <v>-2.8242059581181955</v>
      </c>
      <c r="Q187" s="31">
        <f t="shared" si="56"/>
        <v>-2.4348726661935984</v>
      </c>
    </row>
    <row r="188" spans="2:6" ht="12.75">
      <c r="B188" s="26">
        <f>AppDipAz</f>
        <v>110</v>
      </c>
      <c r="C188" s="31">
        <f>IF(UPPER(Projection)="EQUAL AREA",SQRT(2)*(SIN(ACOS(ABS(0))/2))*Radius,TAN(ACOS(ABS(0))/2)*Radius)</f>
        <v>3.75</v>
      </c>
      <c r="D188" s="31">
        <f>+Xcenter+SIN(RADIANS(B188))*C188</f>
        <v>3.5238473279471565</v>
      </c>
      <c r="E188" s="31">
        <f>+Ycenter+COS(RADIANS(B188))*C188</f>
        <v>-1.2825755374712577</v>
      </c>
      <c r="F188" s="7" t="str">
        <f>"A.D. Az="&amp;TEXT(AppDipAz,"000.0")</f>
        <v>A.D. Az=110.0</v>
      </c>
    </row>
    <row r="189" spans="2:6" ht="12.75">
      <c r="B189" s="31">
        <f>TrueDipAz</f>
        <v>140</v>
      </c>
      <c r="C189" s="31">
        <f>IF(UPPER(Projection)="EQUAL AREA",SQRT(2)*(SIN(ACOS(ABS(Z_3))/2))*Radius,TAN(ACOS(ABS(Z_3))/2)*Radius)</f>
        <v>2.2412717904758983</v>
      </c>
      <c r="D189" s="31">
        <f>+Xcenter+SIN(RADIANS(B189))*C189</f>
        <v>1.4406617368578731</v>
      </c>
      <c r="E189" s="31">
        <f>+Ycenter+COS(RADIANS(B189))*C189</f>
        <v>-1.716913800613384</v>
      </c>
      <c r="F189" s="7" t="str">
        <f>"True Dip="&amp;TEXT(TrueDipPl,"00.0")</f>
        <v>True Dip=40.0</v>
      </c>
    </row>
    <row r="190" spans="2:6" ht="13.5">
      <c r="B190" s="31">
        <f>AnswerAz</f>
        <v>110</v>
      </c>
      <c r="C190" s="31">
        <f>IF(UPPER(Projection)="EQUAL AREA",SQRT(2)*(SIN(ACOS(ABS(Z_Ans))/2))*Radius,TAN(ACOS(ABS(Z_Ans))/2)*Radius)</f>
        <v>2.407433167435224</v>
      </c>
      <c r="D190" s="31">
        <f>+Xcenter+SIN(RADIANS(B190))*C190</f>
        <v>2.2622471824741264</v>
      </c>
      <c r="E190" s="31">
        <f>+Ycenter+COS(RADIANS(B190))*C190</f>
        <v>-0.823390636973164</v>
      </c>
      <c r="F190" s="34" t="str">
        <f>"A.D.="&amp;TEXT(90-DEGREES(ACOS(Z_Ans)),"0.0")</f>
        <v>A.D.=36.0</v>
      </c>
    </row>
    <row r="191" spans="4:6" ht="12.75">
      <c r="D191" s="31">
        <f>-0.85*Radius</f>
        <v>-3.1875</v>
      </c>
      <c r="E191" s="31">
        <f>-0.99*Radius</f>
        <v>-3.7125</v>
      </c>
      <c r="F191" s="31" t="str">
        <f>Projection</f>
        <v>Equal Area</v>
      </c>
    </row>
    <row r="192" spans="4:6" ht="12.75">
      <c r="D192" s="31">
        <f>Xcenter</f>
        <v>0</v>
      </c>
      <c r="E192" s="31">
        <f>Ycenter+1.05*Radius</f>
        <v>3.9375</v>
      </c>
      <c r="F192" s="38" t="s">
        <v>82</v>
      </c>
    </row>
    <row r="193" spans="4:6" ht="12.75">
      <c r="D193" s="31">
        <f>Xcenter</f>
        <v>0</v>
      </c>
      <c r="E193" s="31">
        <f>Ycenter</f>
        <v>0</v>
      </c>
      <c r="F193" s="31" t="s">
        <v>121</v>
      </c>
    </row>
    <row r="194" spans="2:6" ht="12.75">
      <c r="B194" s="26">
        <f>AppDipAz</f>
        <v>110</v>
      </c>
      <c r="C194" s="31">
        <f>IF(UPPER(Projection)="EQUAL AREA",SQRT(2)*(SIN(ACOS(ABS(0))/2))*Radius,TAN(ACOS(ABS(0))/2)*Radius)</f>
        <v>3.75</v>
      </c>
      <c r="D194" s="31">
        <f>+Xcenter+SIN(RADIANS(B194))*C194</f>
        <v>3.5238473279471565</v>
      </c>
      <c r="E194" s="31">
        <f>+Ycenter+COS(RADIANS(B194))*C194</f>
        <v>-1.2825755374712577</v>
      </c>
      <c r="F194" s="31" t="s">
        <v>122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Allison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Strike and dip calculator</dc:title>
  <dc:subject>Calculates the strike and dip from 2 apparent dips</dc:subject>
  <dc:creator>David T Allison</dc:creator>
  <cp:keywords>strike,dip,apparent dip,vector</cp:keywords>
  <dc:description/>
  <cp:lastModifiedBy>Rob Kanen</cp:lastModifiedBy>
  <cp:lastPrinted>2000-10-07T22:34:39Z</cp:lastPrinted>
  <dcterms:created xsi:type="dcterms:W3CDTF">2000-07-13T16:59:19Z</dcterms:created>
  <dcterms:modified xsi:type="dcterms:W3CDTF">2011-03-19T02:33:50Z</dcterms:modified>
  <cp:category/>
  <cp:version/>
  <cp:contentType/>
  <cp:contentStatus/>
</cp:coreProperties>
</file>